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05" yWindow="240" windowWidth="15480" windowHeight="11400"/>
  </bookViews>
  <sheets>
    <sheet name="Standard Summary" sheetId="1" r:id="rId1"/>
    <sheet name="Small Business" sheetId="2" r:id="rId2"/>
  </sheets>
  <definedNames>
    <definedName name="_xlnm.Print_Area" localSheetId="0">'Standard Summary'!$A$1:$N$31</definedName>
    <definedName name="_xlnm.Print_Titles" localSheetId="0">'Standard Summary'!$A:$D</definedName>
    <definedName name="TOTAL_SBA_SUM">'Small Business'!$C$41</definedName>
  </definedNames>
  <calcPr calcId="145621"/>
</workbook>
</file>

<file path=xl/calcChain.xml><?xml version="1.0" encoding="utf-8"?>
<calcChain xmlns="http://schemas.openxmlformats.org/spreadsheetml/2006/main">
  <c r="I16" i="1" l="1"/>
  <c r="J16" i="1"/>
  <c r="I6" i="1"/>
  <c r="J6" i="1"/>
  <c r="I10" i="1"/>
  <c r="J10" i="1"/>
  <c r="J30" i="1" l="1"/>
  <c r="I30" i="1"/>
  <c r="G24" i="1"/>
  <c r="E27" i="1"/>
  <c r="E29" i="1"/>
  <c r="F30" i="1"/>
  <c r="F25" i="1"/>
  <c r="F21" i="1"/>
  <c r="E18" i="1"/>
  <c r="G17" i="1"/>
  <c r="F15" i="1"/>
  <c r="E13" i="1"/>
  <c r="E12" i="1"/>
  <c r="E10" i="1"/>
  <c r="G8" i="1"/>
  <c r="E9" i="1"/>
  <c r="G7" i="1"/>
  <c r="G6" i="1"/>
  <c r="E6" i="1"/>
  <c r="J17" i="1"/>
  <c r="J13" i="1"/>
  <c r="I13" i="1"/>
  <c r="I17" i="1"/>
  <c r="E16" i="1"/>
  <c r="E15" i="2"/>
  <c r="I29" i="1"/>
  <c r="G30" i="1" l="1"/>
  <c r="G16" i="1"/>
  <c r="G15" i="1"/>
  <c r="G12" i="1"/>
  <c r="F16" i="1"/>
  <c r="F10" i="1"/>
  <c r="F8" i="1"/>
  <c r="F6" i="1"/>
  <c r="E21" i="1" l="1"/>
  <c r="E17" i="1" l="1"/>
  <c r="E7" i="1"/>
  <c r="E11" i="2" l="1"/>
  <c r="D33" i="2"/>
  <c r="D32" i="1"/>
  <c r="K13" i="2" l="1"/>
  <c r="H31" i="2"/>
  <c r="H18" i="2"/>
  <c r="H16" i="2"/>
  <c r="H13" i="2"/>
  <c r="H26" i="2"/>
  <c r="H25" i="2"/>
  <c r="H9" i="2"/>
  <c r="H8" i="2"/>
  <c r="H7" i="2"/>
  <c r="I31" i="2"/>
  <c r="I30" i="2"/>
  <c r="I18" i="2"/>
  <c r="I16" i="2"/>
  <c r="I13" i="2"/>
  <c r="I26" i="2"/>
  <c r="I25" i="2"/>
  <c r="I9" i="2"/>
  <c r="I8" i="2"/>
  <c r="I7" i="2"/>
  <c r="J31" i="2"/>
  <c r="J30" i="2"/>
  <c r="J14" i="2"/>
  <c r="J13" i="2"/>
  <c r="J12" i="2"/>
  <c r="J26" i="2"/>
  <c r="J25" i="2"/>
  <c r="K30" i="2"/>
  <c r="K31" i="2"/>
  <c r="I28" i="2"/>
  <c r="J28" i="2"/>
  <c r="K28" i="2"/>
  <c r="K26" i="2"/>
  <c r="K25" i="2"/>
  <c r="I22" i="2"/>
  <c r="J22" i="2"/>
  <c r="K22" i="2"/>
  <c r="I14" i="2"/>
  <c r="K14" i="2"/>
  <c r="I15" i="2"/>
  <c r="J15" i="2"/>
  <c r="K15" i="2"/>
  <c r="J16" i="2"/>
  <c r="K16" i="2"/>
  <c r="I17" i="2"/>
  <c r="J17" i="2"/>
  <c r="K17" i="2"/>
  <c r="J18" i="2"/>
  <c r="K18" i="2"/>
  <c r="I19" i="2"/>
  <c r="J19" i="2"/>
  <c r="K19" i="2"/>
  <c r="K12" i="2"/>
  <c r="K11" i="2"/>
  <c r="K10" i="2"/>
  <c r="I12" i="2"/>
  <c r="I11" i="2"/>
  <c r="J11" i="2"/>
  <c r="I10" i="2"/>
  <c r="J10" i="2"/>
  <c r="J9" i="2"/>
  <c r="J8" i="2"/>
  <c r="J7" i="2"/>
  <c r="H30" i="2"/>
  <c r="H28" i="2"/>
  <c r="H22" i="2"/>
  <c r="H19" i="2"/>
  <c r="H17" i="2"/>
  <c r="H15" i="2"/>
  <c r="H14" i="2"/>
  <c r="H12" i="2"/>
  <c r="H11" i="2"/>
  <c r="H10" i="2"/>
  <c r="G31" i="2"/>
  <c r="G30" i="2"/>
  <c r="G18" i="2"/>
  <c r="G16" i="2"/>
  <c r="G14" i="2"/>
  <c r="G13" i="2"/>
  <c r="G19" i="2"/>
  <c r="G17" i="2"/>
  <c r="G15" i="2"/>
  <c r="G25" i="2"/>
  <c r="G9" i="2"/>
  <c r="G8" i="2"/>
  <c r="G7" i="2"/>
  <c r="F31" i="2"/>
  <c r="E30" i="2"/>
  <c r="F30" i="2"/>
  <c r="F18" i="2"/>
  <c r="F16" i="2"/>
  <c r="F14" i="2"/>
  <c r="F13" i="2"/>
  <c r="F26" i="2"/>
  <c r="F25" i="2"/>
  <c r="F28" i="2"/>
  <c r="F9" i="2"/>
  <c r="F8" i="2"/>
  <c r="F7" i="2"/>
  <c r="F22" i="2"/>
  <c r="E31" i="2" l="1"/>
  <c r="E28" i="2"/>
  <c r="E26" i="2"/>
  <c r="E25" i="2"/>
  <c r="E22" i="2"/>
  <c r="E17" i="2" l="1"/>
  <c r="E19" i="2"/>
  <c r="E18" i="2"/>
  <c r="E13" i="2"/>
  <c r="E10" i="2"/>
  <c r="E9" i="2"/>
  <c r="E8" i="2"/>
  <c r="K8" i="2"/>
  <c r="G10" i="2"/>
  <c r="G11" i="2"/>
  <c r="G12" i="2"/>
  <c r="K7" i="2"/>
  <c r="E7" i="2"/>
  <c r="E16" i="2" l="1"/>
  <c r="E14" i="2"/>
  <c r="E12" i="2"/>
  <c r="F19" i="2"/>
  <c r="F17" i="2"/>
  <c r="F15" i="2"/>
  <c r="F12" i="2"/>
  <c r="F11" i="2"/>
  <c r="F10" i="2"/>
  <c r="K6" i="1" l="1"/>
  <c r="D25" i="2" l="1"/>
  <c r="D26" i="2"/>
  <c r="D13" i="2"/>
  <c r="D14" i="2"/>
  <c r="D15" i="2"/>
  <c r="N17" i="1"/>
  <c r="M17" i="1"/>
  <c r="L17" i="1"/>
  <c r="K17" i="1"/>
  <c r="N18" i="1"/>
  <c r="L18" i="1"/>
  <c r="M18" i="1"/>
  <c r="K18" i="1"/>
  <c r="M16" i="1"/>
  <c r="N16" i="1"/>
  <c r="L16" i="1"/>
  <c r="K16" i="1"/>
  <c r="N10" i="1"/>
  <c r="M10" i="1"/>
  <c r="L10" i="1"/>
  <c r="K10" i="1"/>
  <c r="I11" i="1"/>
  <c r="J29" i="1"/>
  <c r="J27" i="1"/>
  <c r="I27" i="1"/>
  <c r="J25" i="1"/>
  <c r="I25" i="1"/>
  <c r="J24" i="1"/>
  <c r="I24" i="1"/>
  <c r="J21" i="1"/>
  <c r="I21" i="1"/>
  <c r="G27" i="1"/>
  <c r="F27" i="1"/>
  <c r="G25" i="1"/>
  <c r="E25" i="1"/>
  <c r="E30" i="1"/>
  <c r="G29" i="1"/>
  <c r="F29" i="1"/>
  <c r="E24" i="1"/>
  <c r="F24" i="1"/>
  <c r="G21" i="1"/>
  <c r="I18" i="1"/>
  <c r="I15" i="1"/>
  <c r="I14" i="1"/>
  <c r="I12" i="1"/>
  <c r="I9" i="1"/>
  <c r="I8" i="1"/>
  <c r="I7" i="1"/>
  <c r="J18" i="1"/>
  <c r="J15" i="1"/>
  <c r="J14" i="1"/>
  <c r="J12" i="1"/>
  <c r="J11" i="1"/>
  <c r="J9" i="1"/>
  <c r="J8" i="1"/>
  <c r="J7" i="1"/>
  <c r="G18" i="1"/>
  <c r="F18" i="1"/>
  <c r="G10" i="1" l="1"/>
  <c r="F17" i="1" l="1"/>
  <c r="E15" i="1"/>
  <c r="E14" i="1"/>
  <c r="F14" i="1"/>
  <c r="G14" i="1"/>
  <c r="F13" i="1"/>
  <c r="G13" i="1"/>
  <c r="F12" i="1"/>
  <c r="E11" i="1"/>
  <c r="G11" i="1"/>
  <c r="F11" i="1"/>
  <c r="F9" i="1" l="1"/>
  <c r="G9" i="1"/>
  <c r="F7" i="1" l="1"/>
  <c r="E8" i="1"/>
  <c r="C33" i="2" l="1"/>
  <c r="G22" i="2" l="1"/>
  <c r="D19" i="2"/>
  <c r="D11" i="2"/>
  <c r="D30" i="2"/>
  <c r="D8" i="2"/>
  <c r="D17" i="2"/>
  <c r="D22" i="2"/>
  <c r="D28" i="2"/>
  <c r="D31" i="2"/>
  <c r="D9" i="2"/>
  <c r="D12" i="2"/>
  <c r="D18" i="2"/>
  <c r="D7" i="2"/>
  <c r="D10" i="2"/>
  <c r="D16" i="2"/>
  <c r="C32" i="1" l="1"/>
  <c r="N30" i="1" l="1"/>
  <c r="K27" i="1"/>
  <c r="M15" i="1"/>
  <c r="M13" i="1"/>
  <c r="L11" i="1"/>
  <c r="K9" i="1"/>
  <c r="L7" i="1"/>
  <c r="M27" i="1"/>
  <c r="L29" i="1"/>
  <c r="K25" i="1"/>
  <c r="K14" i="1"/>
  <c r="L12" i="1"/>
  <c r="M9" i="1"/>
  <c r="N8" i="1"/>
  <c r="M7" i="1"/>
  <c r="N27" i="1"/>
  <c r="K12" i="1"/>
  <c r="N29" i="1"/>
  <c r="M25" i="1"/>
  <c r="L14" i="1"/>
  <c r="L9" i="1"/>
  <c r="M8" i="1"/>
  <c r="N7" i="1"/>
  <c r="L6" i="1"/>
  <c r="M29" i="1"/>
  <c r="L21" i="1"/>
  <c r="N13" i="1"/>
  <c r="N11" i="1"/>
  <c r="N9" i="1"/>
  <c r="K7" i="1"/>
  <c r="L27" i="1"/>
  <c r="M6" i="1"/>
  <c r="D14" i="1"/>
  <c r="D10" i="1"/>
  <c r="D6" i="1"/>
  <c r="D13" i="1"/>
  <c r="D9" i="1"/>
  <c r="D12" i="1"/>
  <c r="D8" i="1"/>
  <c r="D11" i="1"/>
  <c r="D7" i="1"/>
  <c r="D18" i="1"/>
  <c r="K11" i="1"/>
  <c r="M11" i="1"/>
  <c r="L25" i="1"/>
  <c r="M24" i="1"/>
  <c r="M21" i="1"/>
  <c r="K30" i="1"/>
  <c r="N15" i="1"/>
  <c r="K15" i="1"/>
  <c r="L8" i="1"/>
  <c r="N6" i="1"/>
  <c r="N25" i="1"/>
  <c r="L24" i="1"/>
  <c r="M30" i="1"/>
  <c r="K29" i="1"/>
  <c r="N14" i="1"/>
  <c r="L13" i="1"/>
  <c r="N12" i="1"/>
  <c r="K8" i="1"/>
  <c r="N24" i="1"/>
  <c r="K24" i="1"/>
  <c r="N21" i="1"/>
  <c r="K21" i="1"/>
  <c r="L15" i="1"/>
  <c r="M14" i="1"/>
  <c r="K13" i="1"/>
  <c r="L30" i="1"/>
  <c r="M12" i="1"/>
  <c r="D16" i="1" l="1"/>
  <c r="D15" i="1"/>
  <c r="D17" i="1"/>
  <c r="D27" i="1" l="1"/>
  <c r="D24" i="1"/>
  <c r="D29" i="1"/>
  <c r="D21" i="1"/>
  <c r="D30" i="1"/>
  <c r="D25" i="1"/>
</calcChain>
</file>

<file path=xl/sharedStrings.xml><?xml version="1.0" encoding="utf-8"?>
<sst xmlns="http://schemas.openxmlformats.org/spreadsheetml/2006/main" count="156" uniqueCount="69">
  <si>
    <t>Contract Type Analysis</t>
  </si>
  <si>
    <t>Competition Analysis</t>
  </si>
  <si>
    <t>Obligations</t>
  </si>
  <si>
    <t>Fixed Price</t>
  </si>
  <si>
    <t xml:space="preserve">Cost </t>
  </si>
  <si>
    <t>T&amp;M/LH</t>
  </si>
  <si>
    <t>Other</t>
  </si>
  <si>
    <t>Competed</t>
  </si>
  <si>
    <t>Not Competed</t>
  </si>
  <si>
    <t>Q1</t>
  </si>
  <si>
    <t>Q2</t>
  </si>
  <si>
    <t>Q3</t>
  </si>
  <si>
    <t>Q4</t>
  </si>
  <si>
    <t>D310</t>
  </si>
  <si>
    <t>% Total Obligations</t>
  </si>
  <si>
    <t>N/A</t>
  </si>
  <si>
    <t>Biggest Percentage of Obligations</t>
  </si>
  <si>
    <t>Small Business Analysis</t>
  </si>
  <si>
    <t>Small Business</t>
  </si>
  <si>
    <t>HUBZone</t>
  </si>
  <si>
    <t>SDVOSB</t>
  </si>
  <si>
    <t>8(a) Program</t>
  </si>
  <si>
    <t>VOSB</t>
  </si>
  <si>
    <t>WOSB</t>
  </si>
  <si>
    <t>SDB</t>
  </si>
  <si>
    <t>Time of Obligation Analysis</t>
  </si>
  <si>
    <t>(as % of PSC obligations)</t>
  </si>
  <si>
    <t>United States Department of Agriculture (USDA): Service Contract Inventory Summary Report 2014</t>
  </si>
  <si>
    <t>B599</t>
  </si>
  <si>
    <t>SPECIAL STUDIES/ANALYSIS - OTHER</t>
  </si>
  <si>
    <t>D302</t>
  </si>
  <si>
    <t>IT AND TELECOM - SYSTEMS DEVELOPMENT</t>
  </si>
  <si>
    <t>D307</t>
  </si>
  <si>
    <t>IT AND TELECOM - IT STRATEGY AND ARCHITECTURE</t>
  </si>
  <si>
    <t>IT AND TELECOM - CYBER SECURITY AND DATA BACKUP</t>
  </si>
  <si>
    <t>D314</t>
  </si>
  <si>
    <t>IT AND TELECOM - SYSTEMS ACQUISITION SUPPORT</t>
  </si>
  <si>
    <t>D399</t>
  </si>
  <si>
    <t>IT AND TELECOM - OTHER IT AND TELECOMMUINCATIONS</t>
  </si>
  <si>
    <t>F003</t>
  </si>
  <si>
    <t>NATURAL RESOURCES/CONVERSATION - FOREST RANGE FIRE SUPPRESSION/PRESUPPRESSION</t>
  </si>
  <si>
    <t>R408</t>
  </si>
  <si>
    <t>SUPPORT - PROFESSIONAL: PROGRAM MANAGEMENT/SUPPORT</t>
  </si>
  <si>
    <t>SUPPORT - PROFESSIONAL: ENGNERRING/TECHNICAL</t>
  </si>
  <si>
    <t>R425</t>
  </si>
  <si>
    <t>R499</t>
  </si>
  <si>
    <t>SUPPORT - PROFESSIONAL: OTHER</t>
  </si>
  <si>
    <t>S119</t>
  </si>
  <si>
    <t>UTILITIES - OTHER</t>
  </si>
  <si>
    <t>V221</t>
  </si>
  <si>
    <t>TRANSPORTATION/TRAVEL/RELOCATION -TRAVEL/LODGING/RECURITMENT: PASSENGER AIR CHARTER</t>
  </si>
  <si>
    <t>CONSTRUCTION OF HIGHWAY, ROADS, STREETS, BRIDGES AND RAILWAYS</t>
  </si>
  <si>
    <t>Total Obligations</t>
  </si>
  <si>
    <t>Special Interest Functions</t>
  </si>
  <si>
    <t>F108</t>
  </si>
  <si>
    <t>ENVIRONMENTAL SYSTEMS PROTECTION- ENVIRONMENTAL REMEDIATION</t>
  </si>
  <si>
    <t>R706</t>
  </si>
  <si>
    <t>SUPPORT- MANAGEMENT: LOGISTICS SUPPORT</t>
  </si>
  <si>
    <t>Y1KZ</t>
  </si>
  <si>
    <t>United States Department of Agriculture (USDA): Service Contract Inventory Summary Report 2015</t>
  </si>
  <si>
    <t>R707</t>
  </si>
  <si>
    <t>SUPPORT- MANAGEMENT: CONTRACT/PROCUREMENT/ACQUISITION SUPPORT</t>
  </si>
  <si>
    <t>R421</t>
  </si>
  <si>
    <t>R423</t>
  </si>
  <si>
    <t>TECHNICAL ASSISTANCE</t>
  </si>
  <si>
    <t>SUPPORT- PROFESSIONAL: INTELLIGENCE</t>
  </si>
  <si>
    <t>R406</t>
  </si>
  <si>
    <t>SUPPORT- PROFESSIONAL: POLICY REVIEW/DEVELOPMENT</t>
  </si>
  <si>
    <t>See above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</si>
</sst>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&quot;$&quot;#,##0"/>
    <numFmt numFmtId="165" formatCode="&quot;$&quot;#,##0;[Red]&quot;$&quot;#,##0"/>
    <numFmt numFmtId="166" formatCode="&quot;$&quot;#,##0.00;[Red]&quot;$&quot;#,##0.00"/>
  </numFmts>
  <fonts count="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8"/>
      <name val="Arial"/>
      <family val="2"/>
    </font>
    <font>
      <b/>
      <i/>
      <sz val="8"/>
      <color theme="0"/>
      <name val="Arial"/>
      <family val="2"/>
    </font>
    <font>
      <b/>
      <sz val="12"/>
      <color theme="1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4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0">
    <xf numFmtId="0" fontId="0" fillId="0" borderId="0" xfId="0"/>
    <xf numFmtId="0" fontId="0" fillId="0" borderId="0" xfId="0" applyBorder="1"/>
    <xf numFmtId="0" fontId="0" fillId="0" borderId="9" xfId="0" applyBorder="1"/>
    <xf numFmtId="0" fontId="2" fillId="0" borderId="0" xfId="0" applyFont="1" applyBorder="1" applyAlignment="1">
      <alignment horizontal="right"/>
    </xf>
    <xf numFmtId="0" fontId="4" fillId="0" borderId="0" xfId="0" applyFont="1" applyFill="1" applyAlignment="1">
      <alignment horizontal="left"/>
    </xf>
    <xf numFmtId="0" fontId="4" fillId="0" borderId="14" xfId="0" applyFont="1" applyFill="1" applyBorder="1" applyAlignment="1">
      <alignment horizontal="left"/>
    </xf>
    <xf numFmtId="10" fontId="3" fillId="0" borderId="14" xfId="0" applyNumberFormat="1" applyFont="1" applyFill="1" applyBorder="1" applyAlignment="1">
      <alignment horizontal="center"/>
    </xf>
    <xf numFmtId="10" fontId="3" fillId="0" borderId="7" xfId="0" applyNumberFormat="1" applyFont="1" applyFill="1" applyBorder="1" applyAlignment="1">
      <alignment horizontal="center"/>
    </xf>
    <xf numFmtId="0" fontId="4" fillId="0" borderId="13" xfId="0" applyFont="1" applyFill="1" applyBorder="1" applyAlignment="1">
      <alignment horizontal="left"/>
    </xf>
    <xf numFmtId="0" fontId="4" fillId="0" borderId="4" xfId="0" applyFont="1" applyFill="1" applyBorder="1" applyAlignment="1">
      <alignment horizontal="left"/>
    </xf>
    <xf numFmtId="0" fontId="4" fillId="0" borderId="7" xfId="0" applyFont="1" applyFill="1" applyBorder="1" applyAlignment="1">
      <alignment horizontal="left"/>
    </xf>
    <xf numFmtId="0" fontId="4" fillId="0" borderId="6" xfId="0" applyFont="1" applyFill="1" applyBorder="1" applyAlignment="1">
      <alignment horizontal="left"/>
    </xf>
    <xf numFmtId="0" fontId="3" fillId="0" borderId="0" xfId="0" applyFont="1"/>
    <xf numFmtId="165" fontId="4" fillId="0" borderId="14" xfId="0" applyNumberFormat="1" applyFont="1" applyFill="1" applyBorder="1" applyAlignment="1">
      <alignment horizontal="center"/>
    </xf>
    <xf numFmtId="165" fontId="4" fillId="0" borderId="16" xfId="0" applyNumberFormat="1" applyFont="1" applyFill="1" applyBorder="1" applyAlignment="1">
      <alignment horizontal="center"/>
    </xf>
    <xf numFmtId="0" fontId="2" fillId="0" borderId="6" xfId="0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166" fontId="3" fillId="0" borderId="0" xfId="0" applyNumberFormat="1" applyFont="1" applyAlignment="1">
      <alignment horizontal="center"/>
    </xf>
    <xf numFmtId="10" fontId="3" fillId="0" borderId="14" xfId="1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left"/>
    </xf>
    <xf numFmtId="165" fontId="4" fillId="0" borderId="20" xfId="0" applyNumberFormat="1" applyFont="1" applyFill="1" applyBorder="1" applyAlignment="1">
      <alignment horizontal="center"/>
    </xf>
    <xf numFmtId="165" fontId="4" fillId="0" borderId="26" xfId="0" applyNumberFormat="1" applyFont="1" applyFill="1" applyBorder="1" applyAlignment="1">
      <alignment horizontal="center"/>
    </xf>
    <xf numFmtId="10" fontId="3" fillId="0" borderId="28" xfId="0" applyNumberFormat="1" applyFont="1" applyFill="1" applyBorder="1" applyAlignment="1">
      <alignment horizontal="center"/>
    </xf>
    <xf numFmtId="10" fontId="3" fillId="0" borderId="7" xfId="1" applyNumberFormat="1" applyFont="1" applyFill="1" applyBorder="1" applyAlignment="1">
      <alignment horizontal="center"/>
    </xf>
    <xf numFmtId="0" fontId="2" fillId="0" borderId="0" xfId="0" applyFont="1" applyFill="1"/>
    <xf numFmtId="0" fontId="2" fillId="0" borderId="14" xfId="0" applyFont="1" applyBorder="1"/>
    <xf numFmtId="165" fontId="4" fillId="2" borderId="16" xfId="0" applyNumberFormat="1" applyFont="1" applyFill="1" applyBorder="1" applyAlignment="1">
      <alignment horizontal="center"/>
    </xf>
    <xf numFmtId="0" fontId="2" fillId="0" borderId="0" xfId="0" applyFont="1"/>
    <xf numFmtId="0" fontId="0" fillId="0" borderId="0" xfId="0" applyFill="1"/>
    <xf numFmtId="164" fontId="3" fillId="2" borderId="19" xfId="0" applyNumberFormat="1" applyFont="1" applyFill="1" applyBorder="1" applyAlignment="1">
      <alignment horizontal="center"/>
    </xf>
    <xf numFmtId="10" fontId="3" fillId="2" borderId="14" xfId="0" applyNumberFormat="1" applyFont="1" applyFill="1" applyBorder="1" applyAlignment="1">
      <alignment horizontal="center"/>
    </xf>
    <xf numFmtId="164" fontId="3" fillId="2" borderId="5" xfId="0" applyNumberFormat="1" applyFont="1" applyFill="1" applyBorder="1" applyAlignment="1">
      <alignment horizontal="center"/>
    </xf>
    <xf numFmtId="165" fontId="4" fillId="0" borderId="31" xfId="0" applyNumberFormat="1" applyFont="1" applyFill="1" applyBorder="1" applyAlignment="1">
      <alignment horizontal="center"/>
    </xf>
    <xf numFmtId="0" fontId="0" fillId="0" borderId="9" xfId="0" applyFill="1" applyBorder="1"/>
    <xf numFmtId="9" fontId="2" fillId="0" borderId="0" xfId="0" applyNumberFormat="1" applyFont="1" applyAlignment="1">
      <alignment horizontal="center"/>
    </xf>
    <xf numFmtId="10" fontId="7" fillId="0" borderId="14" xfId="1" applyNumberFormat="1" applyFont="1" applyFill="1" applyBorder="1" applyAlignment="1">
      <alignment horizontal="center"/>
    </xf>
    <xf numFmtId="10" fontId="7" fillId="2" borderId="14" xfId="1" applyNumberFormat="1" applyFont="1" applyFill="1" applyBorder="1" applyAlignment="1">
      <alignment horizontal="center"/>
    </xf>
    <xf numFmtId="0" fontId="3" fillId="2" borderId="25" xfId="0" applyFont="1" applyFill="1" applyBorder="1"/>
    <xf numFmtId="164" fontId="3" fillId="2" borderId="25" xfId="0" applyNumberFormat="1" applyFont="1" applyFill="1" applyBorder="1"/>
    <xf numFmtId="164" fontId="3" fillId="2" borderId="1" xfId="0" applyNumberFormat="1" applyFont="1" applyFill="1" applyBorder="1"/>
    <xf numFmtId="9" fontId="3" fillId="2" borderId="25" xfId="1" applyFont="1" applyFill="1" applyBorder="1"/>
    <xf numFmtId="164" fontId="3" fillId="2" borderId="17" xfId="0" applyNumberFormat="1" applyFont="1" applyFill="1" applyBorder="1"/>
    <xf numFmtId="0" fontId="4" fillId="0" borderId="26" xfId="0" applyFont="1" applyFill="1" applyBorder="1" applyAlignment="1">
      <alignment horizontal="left"/>
    </xf>
    <xf numFmtId="0" fontId="4" fillId="0" borderId="20" xfId="0" applyFont="1" applyFill="1" applyBorder="1" applyAlignment="1">
      <alignment horizontal="left"/>
    </xf>
    <xf numFmtId="10" fontId="7" fillId="0" borderId="26" xfId="1" applyNumberFormat="1" applyFont="1" applyFill="1" applyBorder="1" applyAlignment="1">
      <alignment horizontal="center"/>
    </xf>
    <xf numFmtId="10" fontId="3" fillId="0" borderId="26" xfId="1" applyNumberFormat="1" applyFont="1" applyFill="1" applyBorder="1" applyAlignment="1">
      <alignment horizontal="center"/>
    </xf>
    <xf numFmtId="10" fontId="3" fillId="0" borderId="28" xfId="1" applyNumberFormat="1" applyFont="1" applyFill="1" applyBorder="1" applyAlignment="1">
      <alignment horizontal="center"/>
    </xf>
    <xf numFmtId="0" fontId="4" fillId="0" borderId="37" xfId="0" applyFont="1" applyFill="1" applyBorder="1" applyAlignment="1">
      <alignment horizontal="left"/>
    </xf>
    <xf numFmtId="0" fontId="4" fillId="0" borderId="22" xfId="0" applyFont="1" applyFill="1" applyBorder="1" applyAlignment="1">
      <alignment horizontal="left"/>
    </xf>
    <xf numFmtId="165" fontId="4" fillId="0" borderId="22" xfId="0" applyNumberFormat="1" applyFont="1" applyFill="1" applyBorder="1" applyAlignment="1">
      <alignment horizontal="center"/>
    </xf>
    <xf numFmtId="10" fontId="7" fillId="0" borderId="22" xfId="1" applyNumberFormat="1" applyFont="1" applyFill="1" applyBorder="1" applyAlignment="1">
      <alignment horizontal="center"/>
    </xf>
    <xf numFmtId="10" fontId="3" fillId="0" borderId="22" xfId="1" applyNumberFormat="1" applyFont="1" applyFill="1" applyBorder="1" applyAlignment="1">
      <alignment horizontal="center"/>
    </xf>
    <xf numFmtId="10" fontId="3" fillId="0" borderId="23" xfId="1" applyNumberFormat="1" applyFont="1" applyFill="1" applyBorder="1" applyAlignment="1">
      <alignment horizontal="center"/>
    </xf>
    <xf numFmtId="0" fontId="3" fillId="2" borderId="9" xfId="0" applyFont="1" applyFill="1" applyBorder="1"/>
    <xf numFmtId="0" fontId="3" fillId="2" borderId="33" xfId="0" applyFont="1" applyFill="1" applyBorder="1"/>
    <xf numFmtId="164" fontId="3" fillId="2" borderId="0" xfId="0" applyNumberFormat="1" applyFont="1" applyFill="1" applyBorder="1"/>
    <xf numFmtId="9" fontId="3" fillId="2" borderId="39" xfId="1" applyFont="1" applyFill="1" applyBorder="1"/>
    <xf numFmtId="165" fontId="4" fillId="0" borderId="23" xfId="0" applyNumberFormat="1" applyFont="1" applyFill="1" applyBorder="1" applyAlignment="1">
      <alignment horizontal="center"/>
    </xf>
    <xf numFmtId="0" fontId="2" fillId="0" borderId="26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9" fontId="2" fillId="0" borderId="25" xfId="1" applyFont="1" applyBorder="1" applyAlignment="1">
      <alignment horizontal="center" wrapText="1"/>
    </xf>
    <xf numFmtId="9" fontId="2" fillId="0" borderId="33" xfId="1" applyFont="1" applyBorder="1" applyAlignment="1">
      <alignment horizontal="center" wrapText="1"/>
    </xf>
    <xf numFmtId="9" fontId="2" fillId="0" borderId="26" xfId="1" applyFont="1" applyBorder="1" applyAlignment="1">
      <alignment horizontal="center" wrapText="1"/>
    </xf>
    <xf numFmtId="9" fontId="2" fillId="0" borderId="28" xfId="1" applyFont="1" applyBorder="1" applyAlignment="1">
      <alignment horizontal="center" wrapText="1"/>
    </xf>
    <xf numFmtId="9" fontId="2" fillId="0" borderId="33" xfId="1" applyFont="1" applyFill="1" applyBorder="1" applyAlignment="1">
      <alignment horizontal="center" wrapText="1"/>
    </xf>
    <xf numFmtId="9" fontId="2" fillId="0" borderId="28" xfId="1" applyFont="1" applyFill="1" applyBorder="1" applyAlignment="1">
      <alignment horizontal="center" wrapText="1"/>
    </xf>
    <xf numFmtId="9" fontId="3" fillId="2" borderId="9" xfId="1" applyFont="1" applyFill="1" applyBorder="1"/>
    <xf numFmtId="9" fontId="3" fillId="2" borderId="27" xfId="1" applyFont="1" applyFill="1" applyBorder="1"/>
    <xf numFmtId="9" fontId="3" fillId="2" borderId="29" xfId="1" applyFont="1" applyFill="1" applyBorder="1"/>
    <xf numFmtId="0" fontId="2" fillId="0" borderId="1" xfId="0" applyFont="1" applyBorder="1" applyAlignment="1">
      <alignment horizontal="right"/>
    </xf>
    <xf numFmtId="166" fontId="2" fillId="0" borderId="1" xfId="0" applyNumberFormat="1" applyFont="1" applyBorder="1" applyAlignment="1">
      <alignment horizontal="center"/>
    </xf>
    <xf numFmtId="166" fontId="2" fillId="0" borderId="0" xfId="0" applyNumberFormat="1" applyFont="1" applyBorder="1" applyAlignment="1">
      <alignment horizontal="center"/>
    </xf>
    <xf numFmtId="9" fontId="3" fillId="2" borderId="45" xfId="1" applyFont="1" applyFill="1" applyBorder="1"/>
    <xf numFmtId="9" fontId="3" fillId="2" borderId="1" xfId="1" applyFont="1" applyFill="1" applyBorder="1"/>
    <xf numFmtId="9" fontId="3" fillId="2" borderId="40" xfId="1" applyFont="1" applyFill="1" applyBorder="1"/>
    <xf numFmtId="10" fontId="3" fillId="0" borderId="20" xfId="1" applyNumberFormat="1" applyFont="1" applyFill="1" applyBorder="1" applyAlignment="1">
      <alignment horizontal="center"/>
    </xf>
    <xf numFmtId="0" fontId="2" fillId="0" borderId="40" xfId="0" applyFont="1" applyBorder="1"/>
    <xf numFmtId="0" fontId="4" fillId="0" borderId="21" xfId="0" applyFont="1" applyFill="1" applyBorder="1" applyAlignment="1">
      <alignment horizontal="left"/>
    </xf>
    <xf numFmtId="0" fontId="3" fillId="0" borderId="45" xfId="0" applyFont="1" applyBorder="1"/>
    <xf numFmtId="164" fontId="3" fillId="2" borderId="22" xfId="0" applyNumberFormat="1" applyFont="1" applyFill="1" applyBorder="1"/>
    <xf numFmtId="164" fontId="3" fillId="2" borderId="27" xfId="0" applyNumberFormat="1" applyFont="1" applyFill="1" applyBorder="1"/>
    <xf numFmtId="0" fontId="3" fillId="2" borderId="40" xfId="0" applyFont="1" applyFill="1" applyBorder="1"/>
    <xf numFmtId="9" fontId="2" fillId="0" borderId="31" xfId="1" applyFont="1" applyFill="1" applyBorder="1" applyAlignment="1">
      <alignment horizontal="center" wrapText="1"/>
    </xf>
    <xf numFmtId="9" fontId="2" fillId="0" borderId="45" xfId="1" applyFont="1" applyFill="1" applyBorder="1" applyAlignment="1">
      <alignment horizontal="center" wrapText="1"/>
    </xf>
    <xf numFmtId="0" fontId="3" fillId="0" borderId="1" xfId="0" applyFont="1" applyBorder="1"/>
    <xf numFmtId="0" fontId="0" fillId="0" borderId="1" xfId="0" applyBorder="1"/>
    <xf numFmtId="164" fontId="3" fillId="2" borderId="31" xfId="0" applyNumberFormat="1" applyFont="1" applyFill="1" applyBorder="1"/>
    <xf numFmtId="10" fontId="2" fillId="0" borderId="1" xfId="0" applyNumberFormat="1" applyFont="1" applyBorder="1" applyAlignment="1">
      <alignment horizontal="center"/>
    </xf>
    <xf numFmtId="164" fontId="3" fillId="2" borderId="18" xfId="0" applyNumberFormat="1" applyFont="1" applyFill="1" applyBorder="1"/>
    <xf numFmtId="0" fontId="4" fillId="0" borderId="16" xfId="0" applyFont="1" applyFill="1" applyBorder="1" applyAlignment="1">
      <alignment horizontal="left"/>
    </xf>
    <xf numFmtId="0" fontId="3" fillId="2" borderId="24" xfId="0" applyFont="1" applyFill="1" applyBorder="1"/>
    <xf numFmtId="0" fontId="3" fillId="2" borderId="43" xfId="0" applyFont="1" applyFill="1" applyBorder="1"/>
    <xf numFmtId="0" fontId="2" fillId="0" borderId="15" xfId="0" applyFont="1" applyFill="1" applyBorder="1"/>
    <xf numFmtId="0" fontId="2" fillId="0" borderId="0" xfId="0" applyFont="1" applyFill="1" applyBorder="1"/>
    <xf numFmtId="0" fontId="3" fillId="0" borderId="24" xfId="0" applyFont="1" applyBorder="1"/>
    <xf numFmtId="0" fontId="2" fillId="0" borderId="8" xfId="0" applyFont="1" applyBorder="1"/>
    <xf numFmtId="10" fontId="3" fillId="0" borderId="18" xfId="0" applyNumberFormat="1" applyFont="1" applyFill="1" applyBorder="1" applyAlignment="1">
      <alignment horizontal="center"/>
    </xf>
    <xf numFmtId="9" fontId="3" fillId="2" borderId="33" xfId="1" applyFont="1" applyFill="1" applyBorder="1"/>
    <xf numFmtId="10" fontId="7" fillId="0" borderId="7" xfId="0" applyNumberFormat="1" applyFont="1" applyBorder="1" applyAlignment="1">
      <alignment horizontal="center"/>
    </xf>
    <xf numFmtId="10" fontId="7" fillId="0" borderId="18" xfId="0" applyNumberFormat="1" applyFont="1" applyBorder="1" applyAlignment="1">
      <alignment horizontal="center"/>
    </xf>
    <xf numFmtId="10" fontId="7" fillId="0" borderId="22" xfId="0" applyNumberFormat="1" applyFont="1" applyBorder="1" applyAlignment="1">
      <alignment horizontal="center"/>
    </xf>
    <xf numFmtId="10" fontId="7" fillId="0" borderId="7" xfId="0" applyNumberFormat="1" applyFont="1" applyFill="1" applyBorder="1" applyAlignment="1">
      <alignment horizontal="center"/>
    </xf>
    <xf numFmtId="10" fontId="7" fillId="0" borderId="14" xfId="0" applyNumberFormat="1" applyFont="1" applyFill="1" applyBorder="1" applyAlignment="1">
      <alignment horizontal="center"/>
    </xf>
    <xf numFmtId="10" fontId="7" fillId="0" borderId="22" xfId="0" applyNumberFormat="1" applyFont="1" applyFill="1" applyBorder="1" applyAlignment="1">
      <alignment horizontal="center"/>
    </xf>
    <xf numFmtId="10" fontId="7" fillId="0" borderId="18" xfId="0" applyNumberFormat="1" applyFont="1" applyFill="1" applyBorder="1" applyAlignment="1">
      <alignment horizontal="center"/>
    </xf>
    <xf numFmtId="0" fontId="3" fillId="2" borderId="41" xfId="0" applyFont="1" applyFill="1" applyBorder="1"/>
    <xf numFmtId="9" fontId="2" fillId="0" borderId="15" xfId="1" applyFont="1" applyFill="1" applyBorder="1" applyAlignment="1">
      <alignment horizontal="center" wrapText="1"/>
    </xf>
    <xf numFmtId="9" fontId="2" fillId="0" borderId="17" xfId="1" applyFont="1" applyFill="1" applyBorder="1" applyAlignment="1">
      <alignment horizontal="center" wrapText="1"/>
    </xf>
    <xf numFmtId="9" fontId="3" fillId="2" borderId="26" xfId="1" applyFont="1" applyFill="1" applyBorder="1"/>
    <xf numFmtId="10" fontId="7" fillId="0" borderId="20" xfId="0" applyNumberFormat="1" applyFont="1" applyFill="1" applyBorder="1" applyAlignment="1">
      <alignment horizontal="center"/>
    </xf>
    <xf numFmtId="9" fontId="3" fillId="2" borderId="14" xfId="1" applyFont="1" applyFill="1" applyBorder="1"/>
    <xf numFmtId="10" fontId="7" fillId="0" borderId="28" xfId="0" applyNumberFormat="1" applyFont="1" applyFill="1" applyBorder="1" applyAlignment="1">
      <alignment horizontal="center"/>
    </xf>
    <xf numFmtId="9" fontId="3" fillId="2" borderId="31" xfId="1" applyFont="1" applyFill="1" applyBorder="1"/>
    <xf numFmtId="9" fontId="3" fillId="2" borderId="16" xfId="1" applyFont="1" applyFill="1" applyBorder="1"/>
    <xf numFmtId="10" fontId="7" fillId="0" borderId="16" xfId="0" applyNumberFormat="1" applyFont="1" applyFill="1" applyBorder="1" applyAlignment="1">
      <alignment horizontal="center"/>
    </xf>
    <xf numFmtId="10" fontId="7" fillId="0" borderId="26" xfId="0" applyNumberFormat="1" applyFont="1" applyFill="1" applyBorder="1" applyAlignment="1">
      <alignment horizontal="center"/>
    </xf>
    <xf numFmtId="10" fontId="3" fillId="0" borderId="20" xfId="0" applyNumberFormat="1" applyFont="1" applyFill="1" applyBorder="1" applyAlignment="1">
      <alignment horizontal="center"/>
    </xf>
    <xf numFmtId="10" fontId="3" fillId="0" borderId="23" xfId="0" applyNumberFormat="1" applyFont="1" applyFill="1" applyBorder="1" applyAlignment="1">
      <alignment horizontal="center"/>
    </xf>
    <xf numFmtId="10" fontId="3" fillId="0" borderId="28" xfId="1" applyNumberFormat="1" applyFont="1" applyBorder="1" applyAlignment="1">
      <alignment horizontal="center"/>
    </xf>
    <xf numFmtId="10" fontId="3" fillId="2" borderId="7" xfId="1" applyNumberFormat="1" applyFont="1" applyFill="1" applyBorder="1" applyAlignment="1">
      <alignment horizontal="center"/>
    </xf>
    <xf numFmtId="10" fontId="3" fillId="0" borderId="7" xfId="1" applyNumberFormat="1" applyFont="1" applyBorder="1" applyAlignment="1">
      <alignment horizontal="center"/>
    </xf>
    <xf numFmtId="10" fontId="3" fillId="0" borderId="23" xfId="1" applyNumberFormat="1" applyFont="1" applyBorder="1" applyAlignment="1">
      <alignment horizontal="center"/>
    </xf>
    <xf numFmtId="10" fontId="3" fillId="0" borderId="22" xfId="1" applyNumberFormat="1" applyFont="1" applyBorder="1" applyAlignment="1">
      <alignment horizontal="center"/>
    </xf>
    <xf numFmtId="164" fontId="3" fillId="0" borderId="5" xfId="0" applyNumberFormat="1" applyFont="1" applyFill="1" applyBorder="1" applyAlignment="1">
      <alignment horizontal="center"/>
    </xf>
    <xf numFmtId="164" fontId="3" fillId="0" borderId="38" xfId="0" applyNumberFormat="1" applyFont="1" applyFill="1" applyBorder="1" applyAlignment="1">
      <alignment horizontal="center"/>
    </xf>
    <xf numFmtId="164" fontId="3" fillId="0" borderId="34" xfId="0" applyNumberFormat="1" applyFont="1" applyFill="1" applyBorder="1" applyAlignment="1">
      <alignment horizontal="center"/>
    </xf>
    <xf numFmtId="9" fontId="3" fillId="0" borderId="36" xfId="1" applyFont="1" applyFill="1" applyBorder="1" applyAlignment="1">
      <alignment horizontal="center"/>
    </xf>
    <xf numFmtId="9" fontId="3" fillId="0" borderId="2" xfId="1" applyFont="1" applyFill="1" applyBorder="1" applyAlignment="1">
      <alignment horizontal="center"/>
    </xf>
    <xf numFmtId="9" fontId="3" fillId="0" borderId="32" xfId="1" applyFont="1" applyFill="1" applyBorder="1" applyAlignment="1">
      <alignment horizontal="center"/>
    </xf>
    <xf numFmtId="164" fontId="3" fillId="0" borderId="25" xfId="0" applyNumberFormat="1" applyFont="1" applyFill="1" applyBorder="1"/>
    <xf numFmtId="0" fontId="5" fillId="2" borderId="11" xfId="0" applyFont="1" applyFill="1" applyBorder="1" applyAlignment="1">
      <alignment horizontal="left"/>
    </xf>
    <xf numFmtId="0" fontId="5" fillId="2" borderId="21" xfId="0" applyFont="1" applyFill="1" applyBorder="1" applyAlignment="1">
      <alignment horizontal="left"/>
    </xf>
    <xf numFmtId="0" fontId="3" fillId="2" borderId="27" xfId="0" applyFont="1" applyFill="1" applyBorder="1" applyAlignment="1">
      <alignment horizontal="left"/>
    </xf>
    <xf numFmtId="0" fontId="3" fillId="2" borderId="29" xfId="0" applyFont="1" applyFill="1" applyBorder="1" applyAlignment="1">
      <alignment horizontal="left"/>
    </xf>
    <xf numFmtId="0" fontId="3" fillId="2" borderId="35" xfId="0" applyFont="1" applyFill="1" applyBorder="1" applyAlignment="1">
      <alignment horizontal="left"/>
    </xf>
    <xf numFmtId="164" fontId="2" fillId="0" borderId="27" xfId="0" applyNumberFormat="1" applyFont="1" applyBorder="1" applyAlignment="1">
      <alignment horizontal="left"/>
    </xf>
    <xf numFmtId="164" fontId="2" fillId="0" borderId="29" xfId="0" applyNumberFormat="1" applyFont="1" applyBorder="1" applyAlignment="1">
      <alignment horizontal="left"/>
    </xf>
    <xf numFmtId="164" fontId="2" fillId="0" borderId="35" xfId="0" applyNumberFormat="1" applyFont="1" applyBorder="1" applyAlignment="1">
      <alignment horizontal="left"/>
    </xf>
    <xf numFmtId="0" fontId="0" fillId="0" borderId="0" xfId="0" applyAlignment="1"/>
    <xf numFmtId="0" fontId="6" fillId="0" borderId="0" xfId="0" applyFont="1" applyFill="1" applyBorder="1" applyAlignment="1">
      <alignment horizontal="left"/>
    </xf>
    <xf numFmtId="0" fontId="2" fillId="0" borderId="40" xfId="0" applyFont="1" applyFill="1" applyBorder="1" applyAlignment="1">
      <alignment horizontal="center"/>
    </xf>
    <xf numFmtId="0" fontId="2" fillId="0" borderId="15" xfId="0" applyFont="1" applyFill="1" applyBorder="1" applyAlignment="1">
      <alignment horizontal="center"/>
    </xf>
    <xf numFmtId="0" fontId="2" fillId="0" borderId="41" xfId="0" applyFont="1" applyFill="1" applyBorder="1" applyAlignment="1">
      <alignment horizontal="center"/>
    </xf>
    <xf numFmtId="0" fontId="2" fillId="0" borderId="42" xfId="0" applyFont="1" applyFill="1" applyBorder="1" applyAlignment="1">
      <alignment horizontal="center"/>
    </xf>
    <xf numFmtId="9" fontId="2" fillId="0" borderId="43" xfId="1" applyFont="1" applyBorder="1" applyAlignment="1">
      <alignment horizontal="center"/>
    </xf>
    <xf numFmtId="9" fontId="2" fillId="0" borderId="30" xfId="1" applyFont="1" applyBorder="1" applyAlignment="1">
      <alignment horizontal="center"/>
    </xf>
    <xf numFmtId="9" fontId="2" fillId="0" borderId="24" xfId="1" applyFont="1" applyBorder="1" applyAlignment="1">
      <alignment horizontal="center"/>
    </xf>
    <xf numFmtId="9" fontId="2" fillId="0" borderId="10" xfId="1" applyFont="1" applyBorder="1" applyAlignment="1">
      <alignment horizontal="center"/>
    </xf>
    <xf numFmtId="9" fontId="2" fillId="0" borderId="44" xfId="1" applyFont="1" applyBorder="1" applyAlignment="1">
      <alignment horizontal="center"/>
    </xf>
    <xf numFmtId="9" fontId="2" fillId="0" borderId="8" xfId="1" applyFont="1" applyBorder="1" applyAlignment="1">
      <alignment horizontal="center"/>
    </xf>
    <xf numFmtId="9" fontId="2" fillId="0" borderId="12" xfId="1" applyFont="1" applyBorder="1" applyAlignment="1">
      <alignment horizontal="center"/>
    </xf>
    <xf numFmtId="0" fontId="6" fillId="0" borderId="9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2" fillId="2" borderId="41" xfId="0" applyFont="1" applyFill="1" applyBorder="1" applyAlignment="1">
      <alignment horizontal="center" wrapText="1"/>
    </xf>
    <xf numFmtId="0" fontId="2" fillId="2" borderId="42" xfId="0" applyFont="1" applyFill="1" applyBorder="1" applyAlignment="1">
      <alignment horizontal="center" wrapText="1"/>
    </xf>
    <xf numFmtId="0" fontId="2" fillId="0" borderId="8" xfId="0" applyFont="1" applyBorder="1" applyAlignment="1">
      <alignment horizontal="center"/>
    </xf>
    <xf numFmtId="0" fontId="2" fillId="0" borderId="44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5" fillId="2" borderId="27" xfId="0" applyFont="1" applyFill="1" applyBorder="1" applyAlignment="1">
      <alignment horizontal="left"/>
    </xf>
    <xf numFmtId="0" fontId="5" fillId="2" borderId="35" xfId="0" applyFont="1" applyFill="1" applyBorder="1" applyAlignment="1">
      <alignment horizontal="left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4"/>
  <sheetViews>
    <sheetView tabSelected="1" zoomScaleNormal="100" workbookViewId="0">
      <selection activeCell="C19" sqref="C19"/>
    </sheetView>
  </sheetViews>
  <sheetFormatPr defaultRowHeight="12.75" x14ac:dyDescent="0.2"/>
  <cols>
    <col min="1" max="1" width="6.42578125" customWidth="1"/>
    <col min="2" max="2" width="78.140625" customWidth="1"/>
    <col min="3" max="3" width="17.85546875" bestFit="1" customWidth="1"/>
    <col min="4" max="4" width="10.28515625" customWidth="1"/>
    <col min="5" max="5" width="15.42578125" bestFit="1" customWidth="1"/>
    <col min="6" max="6" width="9.28515625" customWidth="1"/>
    <col min="7" max="7" width="11" bestFit="1" customWidth="1"/>
    <col min="8" max="8" width="9.85546875" customWidth="1"/>
    <col min="9" max="9" width="11.85546875" customWidth="1"/>
    <col min="10" max="10" width="11.7109375" customWidth="1"/>
  </cols>
  <sheetData>
    <row r="1" spans="1:18" ht="16.5" thickBot="1" x14ac:dyDescent="0.3">
      <c r="A1" s="139" t="s">
        <v>59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8"/>
      <c r="P1" s="138"/>
      <c r="Q1" s="138"/>
      <c r="R1" s="138"/>
    </row>
    <row r="2" spans="1:18" ht="13.5" thickBot="1" x14ac:dyDescent="0.25">
      <c r="A2" s="130"/>
      <c r="B2" s="131"/>
      <c r="C2" s="140"/>
      <c r="D2" s="141"/>
      <c r="E2" s="144" t="s">
        <v>0</v>
      </c>
      <c r="F2" s="145"/>
      <c r="G2" s="145"/>
      <c r="H2" s="146"/>
      <c r="I2" s="147" t="s">
        <v>1</v>
      </c>
      <c r="J2" s="148"/>
      <c r="K2" s="144" t="s">
        <v>25</v>
      </c>
      <c r="L2" s="145"/>
      <c r="M2" s="145"/>
      <c r="N2" s="146"/>
    </row>
    <row r="3" spans="1:18" ht="13.5" thickBot="1" x14ac:dyDescent="0.25">
      <c r="A3" s="130"/>
      <c r="B3" s="131"/>
      <c r="C3" s="142"/>
      <c r="D3" s="143"/>
      <c r="E3" s="144" t="s">
        <v>26</v>
      </c>
      <c r="F3" s="145"/>
      <c r="G3" s="145"/>
      <c r="H3" s="146"/>
      <c r="I3" s="149" t="s">
        <v>26</v>
      </c>
      <c r="J3" s="150"/>
      <c r="K3" s="144" t="s">
        <v>26</v>
      </c>
      <c r="L3" s="145"/>
      <c r="M3" s="145"/>
      <c r="N3" s="146"/>
    </row>
    <row r="4" spans="1:18" ht="23.25" thickBot="1" x14ac:dyDescent="0.25">
      <c r="A4" s="130"/>
      <c r="B4" s="131"/>
      <c r="C4" s="58" t="s">
        <v>2</v>
      </c>
      <c r="D4" s="59" t="s">
        <v>14</v>
      </c>
      <c r="E4" s="61" t="s">
        <v>3</v>
      </c>
      <c r="F4" s="61" t="s">
        <v>4</v>
      </c>
      <c r="G4" s="62" t="s">
        <v>5</v>
      </c>
      <c r="H4" s="63" t="s">
        <v>6</v>
      </c>
      <c r="I4" s="60" t="s">
        <v>7</v>
      </c>
      <c r="J4" s="60" t="s">
        <v>8</v>
      </c>
      <c r="K4" s="64" t="s">
        <v>9</v>
      </c>
      <c r="L4" s="65" t="s">
        <v>10</v>
      </c>
      <c r="M4" s="64" t="s">
        <v>11</v>
      </c>
      <c r="N4" s="65" t="s">
        <v>12</v>
      </c>
    </row>
    <row r="5" spans="1:18" ht="13.5" thickBot="1" x14ac:dyDescent="0.25">
      <c r="A5" s="76" t="s">
        <v>53</v>
      </c>
      <c r="B5" s="78"/>
      <c r="C5" s="72"/>
      <c r="D5" s="73"/>
      <c r="E5" s="74"/>
      <c r="F5" s="40"/>
      <c r="G5" s="40"/>
      <c r="H5" s="40"/>
      <c r="I5" s="40"/>
      <c r="J5" s="74"/>
      <c r="K5" s="40"/>
      <c r="L5" s="40"/>
      <c r="M5" s="40"/>
      <c r="N5" s="40"/>
    </row>
    <row r="6" spans="1:18" x14ac:dyDescent="0.2">
      <c r="A6" s="77" t="s">
        <v>30</v>
      </c>
      <c r="B6" s="43" t="s">
        <v>31</v>
      </c>
      <c r="C6" s="20">
        <v>143100239</v>
      </c>
      <c r="D6" s="116">
        <f t="shared" ref="D6:D18" si="0">C6/$C$32</f>
        <v>5.2858868865453768E-2</v>
      </c>
      <c r="E6" s="75">
        <f>107331344/$C$6</f>
        <v>0.75004307994202579</v>
      </c>
      <c r="F6" s="45">
        <f>0/$C$6</f>
        <v>0</v>
      </c>
      <c r="G6" s="45">
        <f>35769711/$C$6</f>
        <v>0.2499626223545301</v>
      </c>
      <c r="H6" s="126" t="s">
        <v>15</v>
      </c>
      <c r="I6" s="45">
        <f>134520239/$C$6</f>
        <v>0.9400420288606226</v>
      </c>
      <c r="J6" s="75">
        <f>8586014/$C$6</f>
        <v>5.9999997624043101E-2</v>
      </c>
      <c r="K6" s="45">
        <f>1295177822/$C$32</f>
        <v>0.47841733269601333</v>
      </c>
      <c r="L6" s="45">
        <f>427047822/$C$32</f>
        <v>0.15774442432884855</v>
      </c>
      <c r="M6" s="45">
        <f>295177822/$C$32</f>
        <v>0.10903382058703796</v>
      </c>
      <c r="N6" s="45">
        <f>689977822/$C$32</f>
        <v>0.25486643116766144</v>
      </c>
    </row>
    <row r="7" spans="1:18" x14ac:dyDescent="0.2">
      <c r="A7" s="9" t="s">
        <v>32</v>
      </c>
      <c r="B7" s="5" t="s">
        <v>33</v>
      </c>
      <c r="C7" s="14">
        <v>110672819</v>
      </c>
      <c r="D7" s="7">
        <f t="shared" si="0"/>
        <v>4.0880714577220936E-2</v>
      </c>
      <c r="E7" s="18">
        <f>43540599/$C$7</f>
        <v>0.39341727619678685</v>
      </c>
      <c r="F7" s="18">
        <f>0/$C$7</f>
        <v>0</v>
      </c>
      <c r="G7" s="18">
        <f>67137375/$C$7</f>
        <v>0.60662930253904535</v>
      </c>
      <c r="H7" s="127" t="s">
        <v>15</v>
      </c>
      <c r="I7" s="18">
        <f>110672819/$C$7</f>
        <v>1</v>
      </c>
      <c r="J7" s="18">
        <f>0/$C$7</f>
        <v>0</v>
      </c>
      <c r="K7" s="18">
        <f>496227693/$C$32</f>
        <v>0.1832983280460744</v>
      </c>
      <c r="L7" s="18">
        <f>553530282/$C$32</f>
        <v>0.20446495962383154</v>
      </c>
      <c r="M7" s="18">
        <f>1227408629/$C$32</f>
        <v>0.45338451017288234</v>
      </c>
      <c r="N7" s="23">
        <f>429922211/$C$32</f>
        <v>0.15880617623283594</v>
      </c>
      <c r="O7" s="2"/>
    </row>
    <row r="8" spans="1:18" x14ac:dyDescent="0.2">
      <c r="A8" s="9" t="s">
        <v>13</v>
      </c>
      <c r="B8" s="5" t="s">
        <v>34</v>
      </c>
      <c r="C8" s="14">
        <v>11157838</v>
      </c>
      <c r="D8" s="7">
        <f t="shared" si="0"/>
        <v>4.1215213879829855E-3</v>
      </c>
      <c r="E8" s="18">
        <f>10863752/$C$8</f>
        <v>0.97364310182671587</v>
      </c>
      <c r="F8" s="18">
        <f>0/$C$8</f>
        <v>0</v>
      </c>
      <c r="G8" s="18">
        <f>294566/$C$8</f>
        <v>2.6399917259956635E-2</v>
      </c>
      <c r="H8" s="127" t="s">
        <v>15</v>
      </c>
      <c r="I8" s="18">
        <f>11157838/$C$8</f>
        <v>1</v>
      </c>
      <c r="J8" s="18">
        <f>0/$C$8</f>
        <v>0</v>
      </c>
      <c r="K8" s="6">
        <f>642446246/$C$32</f>
        <v>0.23730905068870675</v>
      </c>
      <c r="L8" s="6">
        <f>456546246/$C$32</f>
        <v>0.16864065578764822</v>
      </c>
      <c r="M8" s="6">
        <f>962746246/$C$32</f>
        <v>0.35562258961721155</v>
      </c>
      <c r="N8" s="6">
        <f>645546246/$C$32</f>
        <v>0.23845413957624456</v>
      </c>
    </row>
    <row r="9" spans="1:18" x14ac:dyDescent="0.2">
      <c r="A9" s="8" t="s">
        <v>35</v>
      </c>
      <c r="B9" s="5" t="s">
        <v>36</v>
      </c>
      <c r="C9" s="14">
        <v>5870137</v>
      </c>
      <c r="D9" s="7">
        <f t="shared" si="0"/>
        <v>2.1683318216208442E-3</v>
      </c>
      <c r="E9" s="18">
        <f>5870137/$C$9</f>
        <v>1</v>
      </c>
      <c r="F9" s="18">
        <f>0/$C$9</f>
        <v>0</v>
      </c>
      <c r="G9" s="18">
        <f>0/$C$9</f>
        <v>0</v>
      </c>
      <c r="H9" s="127" t="s">
        <v>15</v>
      </c>
      <c r="I9" s="18">
        <f>5870137/$C$9</f>
        <v>1</v>
      </c>
      <c r="J9" s="18">
        <f>0/$C$9</f>
        <v>0</v>
      </c>
      <c r="K9" s="6">
        <f>2077973868/$C$32</f>
        <v>0.76756928543251235</v>
      </c>
      <c r="L9" s="6">
        <f>226433868/$C$32</f>
        <v>8.3640937422260128E-2</v>
      </c>
      <c r="M9" s="6">
        <f>302862868/$C$32</f>
        <v>0.111872549869237</v>
      </c>
      <c r="N9" s="6">
        <f>99999868/$C$32</f>
        <v>3.6938302452273933E-2</v>
      </c>
    </row>
    <row r="10" spans="1:18" s="28" customFormat="1" x14ac:dyDescent="0.2">
      <c r="A10" s="10" t="s">
        <v>37</v>
      </c>
      <c r="B10" s="5" t="s">
        <v>38</v>
      </c>
      <c r="C10" s="13">
        <v>1048594898</v>
      </c>
      <c r="D10" s="7">
        <f t="shared" si="0"/>
        <v>0.38733366620279275</v>
      </c>
      <c r="E10" s="18">
        <f>886377252/$C$10</f>
        <v>0.84529998542869123</v>
      </c>
      <c r="F10" s="18">
        <f>0/$C$10</f>
        <v>0</v>
      </c>
      <c r="G10" s="18">
        <f>162224826/$C$10</f>
        <v>0.15470686182949556</v>
      </c>
      <c r="H10" s="127" t="s">
        <v>15</v>
      </c>
      <c r="I10" s="18">
        <f>912314888/$C$10</f>
        <v>0.87003559691170651</v>
      </c>
      <c r="J10" s="18">
        <f>136317366/$C$10</f>
        <v>0.13000002790400761</v>
      </c>
      <c r="K10" s="6">
        <f>262148724.5/$C$10</f>
        <v>0.25</v>
      </c>
      <c r="L10" s="6">
        <f>262148724.5/$C$10</f>
        <v>0.25</v>
      </c>
      <c r="M10" s="6">
        <f>262148724.5/$C$10</f>
        <v>0.25</v>
      </c>
      <c r="N10" s="6">
        <f>262148724.5/$C$10</f>
        <v>0.25</v>
      </c>
    </row>
    <row r="11" spans="1:18" x14ac:dyDescent="0.2">
      <c r="A11" s="11" t="s">
        <v>66</v>
      </c>
      <c r="B11" s="25" t="s">
        <v>67</v>
      </c>
      <c r="C11" s="32">
        <v>188140</v>
      </c>
      <c r="D11" s="7">
        <f t="shared" si="0"/>
        <v>6.9495813968182621E-5</v>
      </c>
      <c r="E11" s="18">
        <f>188140/$C$11</f>
        <v>1</v>
      </c>
      <c r="F11" s="18">
        <f>0/$C$9</f>
        <v>0</v>
      </c>
      <c r="G11" s="18">
        <f>0/$C$9</f>
        <v>0</v>
      </c>
      <c r="H11" s="127" t="s">
        <v>15</v>
      </c>
      <c r="I11" s="18">
        <f>188140/$C$11</f>
        <v>1</v>
      </c>
      <c r="J11" s="18">
        <f>0/$C$11</f>
        <v>0</v>
      </c>
      <c r="K11" s="18">
        <f>531205139/$C$32</f>
        <v>0.19621841989415642</v>
      </c>
      <c r="L11" s="6">
        <f>554297769/$C$32</f>
        <v>0.20474845666738953</v>
      </c>
      <c r="M11" s="6">
        <f>1011857582/$C$32</f>
        <v>0.37376350739325548</v>
      </c>
      <c r="N11" s="7">
        <f>610070191/$C$32</f>
        <v>0.22534986978457339</v>
      </c>
    </row>
    <row r="12" spans="1:18" x14ac:dyDescent="0.2">
      <c r="A12" s="10" t="s">
        <v>41</v>
      </c>
      <c r="B12" s="5" t="s">
        <v>42</v>
      </c>
      <c r="C12" s="13">
        <v>113155534</v>
      </c>
      <c r="D12" s="7">
        <f t="shared" si="0"/>
        <v>4.1797788563486572E-2</v>
      </c>
      <c r="E12" s="18">
        <f>84019763/$C$12</f>
        <v>0.74251572176752756</v>
      </c>
      <c r="F12" s="18">
        <f>0/$C$12</f>
        <v>0</v>
      </c>
      <c r="G12" s="18">
        <f>29142827/$C$12</f>
        <v>0.25754663488221441</v>
      </c>
      <c r="H12" s="127" t="s">
        <v>15</v>
      </c>
      <c r="I12" s="18">
        <f>113155534/$C$12</f>
        <v>1</v>
      </c>
      <c r="J12" s="18">
        <f>0/$C$12</f>
        <v>0</v>
      </c>
      <c r="K12" s="6">
        <f>751012432/$C$32</f>
        <v>0.277411609769663</v>
      </c>
      <c r="L12" s="6">
        <f>706462432/$C$32</f>
        <v>0.26095557430520816</v>
      </c>
      <c r="M12" s="6">
        <f>984762432/$C$32</f>
        <v>0.36375500572513603</v>
      </c>
      <c r="N12" s="6">
        <f>264762432/$C$32</f>
        <v>9.7798877006673765E-2</v>
      </c>
    </row>
    <row r="13" spans="1:18" x14ac:dyDescent="0.2">
      <c r="A13" s="19" t="s">
        <v>62</v>
      </c>
      <c r="B13" s="25" t="s">
        <v>64</v>
      </c>
      <c r="C13" s="13">
        <v>391553</v>
      </c>
      <c r="D13" s="7">
        <f t="shared" si="0"/>
        <v>1.4463322231680561E-4</v>
      </c>
      <c r="E13" s="18">
        <f>391553/$C$13</f>
        <v>1</v>
      </c>
      <c r="F13" s="18">
        <f>0/$C$13</f>
        <v>0</v>
      </c>
      <c r="G13" s="18">
        <f>0/$C$13</f>
        <v>0</v>
      </c>
      <c r="H13" s="127" t="s">
        <v>15</v>
      </c>
      <c r="I13" s="18">
        <f>391553/$C$13</f>
        <v>1</v>
      </c>
      <c r="J13" s="18">
        <f>0/$C$13</f>
        <v>0</v>
      </c>
      <c r="K13" s="18">
        <f>953263357/$C$32</f>
        <v>0.35211976677345197</v>
      </c>
      <c r="L13" s="6">
        <f>97278891/$C$32</f>
        <v>3.5933218411646192E-2</v>
      </c>
      <c r="M13" s="6">
        <f>469999745/$C$32</f>
        <v>0.17361015649842282</v>
      </c>
      <c r="N13" s="7">
        <f>1186890956/$C$32</f>
        <v>0.4384179498176593</v>
      </c>
    </row>
    <row r="14" spans="1:18" x14ac:dyDescent="0.2">
      <c r="A14" s="11" t="s">
        <v>63</v>
      </c>
      <c r="B14" s="25" t="s">
        <v>65</v>
      </c>
      <c r="C14" s="13">
        <v>199750</v>
      </c>
      <c r="D14" s="7">
        <f t="shared" si="0"/>
        <v>7.3784356543767828E-5</v>
      </c>
      <c r="E14" s="18">
        <f>199750/$C$14</f>
        <v>1</v>
      </c>
      <c r="F14" s="18">
        <f>0/$C$14</f>
        <v>0</v>
      </c>
      <c r="G14" s="18">
        <f>0/$C$14</f>
        <v>0</v>
      </c>
      <c r="H14" s="127" t="s">
        <v>15</v>
      </c>
      <c r="I14" s="18">
        <f>199750/$C$14</f>
        <v>1</v>
      </c>
      <c r="J14" s="18">
        <f>0/$C$14</f>
        <v>0</v>
      </c>
      <c r="K14" s="6">
        <f>1619190727/$C$32</f>
        <v>0.59810235751354512</v>
      </c>
      <c r="L14" s="6">
        <f>695990727/$C$32</f>
        <v>0.25708749913453904</v>
      </c>
      <c r="M14" s="6">
        <f>95990727/$C$32</f>
        <v>3.5457391869153844E-2</v>
      </c>
      <c r="N14" s="6">
        <f>295990727/$C$32</f>
        <v>0.10933409429094891</v>
      </c>
      <c r="O14" s="2"/>
    </row>
    <row r="15" spans="1:18" x14ac:dyDescent="0.2">
      <c r="A15" s="11" t="s">
        <v>44</v>
      </c>
      <c r="B15" s="5" t="s">
        <v>43</v>
      </c>
      <c r="C15" s="13">
        <v>12959864</v>
      </c>
      <c r="D15" s="7">
        <f t="shared" si="0"/>
        <v>4.7871600807746738E-3</v>
      </c>
      <c r="E15" s="18">
        <f>10373002/$C$15</f>
        <v>0.8003943559901554</v>
      </c>
      <c r="F15" s="18">
        <f>2586788/$C$15</f>
        <v>0.19959993407338225</v>
      </c>
      <c r="G15" s="18">
        <f>0/$C$15</f>
        <v>0</v>
      </c>
      <c r="H15" s="127" t="s">
        <v>15</v>
      </c>
      <c r="I15" s="18">
        <f>12959864/$C$15</f>
        <v>1</v>
      </c>
      <c r="J15" s="18">
        <f>0/$C$15</f>
        <v>0</v>
      </c>
      <c r="K15" s="6">
        <f>1207450211/$C$32</f>
        <v>0.44601219963590333</v>
      </c>
      <c r="L15" s="6">
        <f>280850211/$C$32</f>
        <v>0.10374143731572678</v>
      </c>
      <c r="M15" s="6">
        <f>439450211/$C$32</f>
        <v>0.16232566233621026</v>
      </c>
      <c r="N15" s="6">
        <f>779650211/$C$32</f>
        <v>0.28798993315568366</v>
      </c>
    </row>
    <row r="16" spans="1:18" s="28" customFormat="1" x14ac:dyDescent="0.2">
      <c r="A16" s="10" t="s">
        <v>45</v>
      </c>
      <c r="B16" s="5" t="s">
        <v>46</v>
      </c>
      <c r="C16" s="14">
        <v>533671003</v>
      </c>
      <c r="D16" s="7">
        <f t="shared" si="0"/>
        <v>0.19712926939885952</v>
      </c>
      <c r="E16" s="18">
        <f>533671003/$C$16</f>
        <v>1</v>
      </c>
      <c r="F16" s="18">
        <f>0/$C$16</f>
        <v>0</v>
      </c>
      <c r="G16" s="18">
        <f>0/$C$16</f>
        <v>0</v>
      </c>
      <c r="H16" s="127" t="s">
        <v>15</v>
      </c>
      <c r="I16" s="18">
        <f>512341003/$C$16</f>
        <v>0.96003155524640715</v>
      </c>
      <c r="J16" s="18">
        <f>21346840/$C$16</f>
        <v>3.9999999775142361E-2</v>
      </c>
      <c r="K16" s="18">
        <f>1239966/$C$15</f>
        <v>9.5677392910913261E-2</v>
      </c>
      <c r="L16" s="18">
        <f>5239966/$C$15</f>
        <v>0.40432260708908674</v>
      </c>
      <c r="M16" s="18">
        <f>2239966/$C$15</f>
        <v>0.17283869645545663</v>
      </c>
      <c r="N16" s="18">
        <f>4239966/$C$15</f>
        <v>0.32716130354454337</v>
      </c>
    </row>
    <row r="17" spans="1:15" x14ac:dyDescent="0.2">
      <c r="A17" s="10" t="s">
        <v>60</v>
      </c>
      <c r="B17" s="25" t="s">
        <v>61</v>
      </c>
      <c r="C17" s="13">
        <v>9261883</v>
      </c>
      <c r="D17" s="7">
        <f t="shared" si="0"/>
        <v>3.4211868712824126E-3</v>
      </c>
      <c r="E17" s="18">
        <f>8498461/$C$17</f>
        <v>0.91757378062322748</v>
      </c>
      <c r="F17" s="18">
        <f>0/$C$17</f>
        <v>0</v>
      </c>
      <c r="G17" s="18">
        <f>763481/$C$17</f>
        <v>8.2432589571688614E-2</v>
      </c>
      <c r="H17" s="127" t="s">
        <v>15</v>
      </c>
      <c r="I17" s="18">
        <f>9261883/$C$17</f>
        <v>1</v>
      </c>
      <c r="J17" s="18">
        <f>0/$C$17</f>
        <v>0</v>
      </c>
      <c r="K17" s="18">
        <f>1315470.75/$C$17</f>
        <v>0.14203059464257969</v>
      </c>
      <c r="L17" s="18">
        <f>2015470.75/$C$17</f>
        <v>0.21760917839277391</v>
      </c>
      <c r="M17" s="18">
        <f>2615470.75/$C$17</f>
        <v>0.28239082160722612</v>
      </c>
      <c r="N17" s="18">
        <f>3315470.75/$C$17</f>
        <v>0.35796940535742028</v>
      </c>
      <c r="O17" s="1"/>
    </row>
    <row r="18" spans="1:15" s="28" customFormat="1" ht="13.5" thickBot="1" x14ac:dyDescent="0.25">
      <c r="A18" s="47" t="s">
        <v>47</v>
      </c>
      <c r="B18" s="48" t="s">
        <v>48</v>
      </c>
      <c r="C18" s="57">
        <v>32145495</v>
      </c>
      <c r="D18" s="117">
        <f t="shared" si="0"/>
        <v>1.1874015841581506E-2</v>
      </c>
      <c r="E18" s="51">
        <f>32145495/$C$18</f>
        <v>1</v>
      </c>
      <c r="F18" s="51">
        <f>0/$C$18</f>
        <v>0</v>
      </c>
      <c r="G18" s="51">
        <f>0/$C$18</f>
        <v>0</v>
      </c>
      <c r="H18" s="128" t="s">
        <v>15</v>
      </c>
      <c r="I18" s="51">
        <f>32145495/$C$18</f>
        <v>1</v>
      </c>
      <c r="J18" s="51">
        <f>0/$C$18</f>
        <v>0</v>
      </c>
      <c r="K18" s="51">
        <f>8036373.75/$C$18</f>
        <v>0.25</v>
      </c>
      <c r="L18" s="51">
        <f>6036373.75/$C$18</f>
        <v>0.18778288372911975</v>
      </c>
      <c r="M18" s="51">
        <f>8036373.75/$C$18</f>
        <v>0.25</v>
      </c>
      <c r="N18" s="51">
        <f>10036373.75/$C$18</f>
        <v>0.31221711627088028</v>
      </c>
    </row>
    <row r="19" spans="1:15" ht="13.5" thickBot="1" x14ac:dyDescent="0.25">
      <c r="A19" s="53"/>
      <c r="B19" s="54"/>
      <c r="C19" s="41"/>
      <c r="D19" s="55"/>
      <c r="E19" s="66"/>
      <c r="F19" s="67"/>
      <c r="G19" s="67"/>
      <c r="H19" s="40"/>
      <c r="I19" s="40"/>
      <c r="J19" s="56"/>
      <c r="K19" s="66"/>
      <c r="L19" s="67"/>
      <c r="M19" s="40"/>
      <c r="N19" s="68"/>
      <c r="O19" s="2"/>
    </row>
    <row r="20" spans="1:15" ht="13.5" thickBot="1" x14ac:dyDescent="0.25">
      <c r="A20" s="135" t="s">
        <v>16</v>
      </c>
      <c r="B20" s="136"/>
      <c r="C20" s="136"/>
      <c r="D20" s="136"/>
      <c r="E20" s="136"/>
      <c r="F20" s="136"/>
      <c r="G20" s="136"/>
      <c r="H20" s="136"/>
      <c r="I20" s="136"/>
      <c r="J20" s="136"/>
      <c r="K20" s="136"/>
      <c r="L20" s="136"/>
      <c r="M20" s="136"/>
      <c r="N20" s="137"/>
      <c r="O20" s="2"/>
    </row>
    <row r="21" spans="1:15" x14ac:dyDescent="0.2">
      <c r="A21" s="19" t="s">
        <v>28</v>
      </c>
      <c r="B21" s="43" t="s">
        <v>29</v>
      </c>
      <c r="C21" s="21">
        <v>19688603</v>
      </c>
      <c r="D21" s="118">
        <f t="shared" ref="D21:D30" si="1">C21/$C$32</f>
        <v>7.2726453246593084E-3</v>
      </c>
      <c r="E21" s="44">
        <f>0/$C$21</f>
        <v>0</v>
      </c>
      <c r="F21" s="44">
        <f>19688603/$C$21</f>
        <v>1</v>
      </c>
      <c r="G21" s="44">
        <f>0/$C$21</f>
        <v>0</v>
      </c>
      <c r="H21" s="125" t="s">
        <v>15</v>
      </c>
      <c r="I21" s="44">
        <f>19688603/$C$21</f>
        <v>1</v>
      </c>
      <c r="J21" s="44">
        <f>0/$C$21</f>
        <v>0</v>
      </c>
      <c r="K21" s="45">
        <f>468627693/$C$32</f>
        <v>0.17310334311186668</v>
      </c>
      <c r="L21" s="45">
        <f>585530282/$C$32</f>
        <v>0.21628523201131875</v>
      </c>
      <c r="M21" s="45">
        <f>1223108629/$C$32</f>
        <v>0.45179616107081372</v>
      </c>
      <c r="N21" s="46">
        <f>429922211/$C$32</f>
        <v>0.15880617623283594</v>
      </c>
      <c r="O21" s="2"/>
    </row>
    <row r="22" spans="1:15" x14ac:dyDescent="0.2">
      <c r="A22" s="9" t="s">
        <v>32</v>
      </c>
      <c r="B22" s="42" t="s">
        <v>33</v>
      </c>
      <c r="C22" s="26" t="s">
        <v>68</v>
      </c>
      <c r="D22" s="119"/>
      <c r="E22" s="36"/>
      <c r="F22" s="36"/>
      <c r="G22" s="36"/>
      <c r="H22" s="29"/>
      <c r="I22" s="30"/>
      <c r="J22" s="30"/>
      <c r="K22" s="30"/>
      <c r="L22" s="30"/>
      <c r="M22" s="30"/>
      <c r="N22" s="30"/>
      <c r="O22" s="2"/>
    </row>
    <row r="23" spans="1:15" x14ac:dyDescent="0.2">
      <c r="A23" s="8" t="s">
        <v>37</v>
      </c>
      <c r="B23" s="5" t="s">
        <v>38</v>
      </c>
      <c r="C23" s="26" t="s">
        <v>68</v>
      </c>
      <c r="D23" s="119"/>
      <c r="E23" s="36"/>
      <c r="F23" s="36"/>
      <c r="G23" s="36"/>
      <c r="H23" s="31"/>
      <c r="I23" s="30"/>
      <c r="J23" s="30"/>
      <c r="K23" s="30"/>
      <c r="L23" s="30"/>
      <c r="M23" s="30"/>
      <c r="N23" s="30"/>
      <c r="O23" s="2"/>
    </row>
    <row r="24" spans="1:15" x14ac:dyDescent="0.2">
      <c r="A24" s="10" t="s">
        <v>39</v>
      </c>
      <c r="B24" s="5" t="s">
        <v>40</v>
      </c>
      <c r="C24" s="13">
        <v>258093579</v>
      </c>
      <c r="D24" s="120">
        <f t="shared" si="1"/>
        <v>9.533551266379528E-2</v>
      </c>
      <c r="E24" s="35">
        <f>0/$C$24</f>
        <v>0</v>
      </c>
      <c r="F24" s="35">
        <f>0/$C$24</f>
        <v>0</v>
      </c>
      <c r="G24" s="35">
        <f>258093579/$C$24</f>
        <v>1</v>
      </c>
      <c r="H24" s="123" t="s">
        <v>15</v>
      </c>
      <c r="I24" s="35">
        <f>258093579/$C$24</f>
        <v>1</v>
      </c>
      <c r="J24" s="35">
        <f>0/$C$24</f>
        <v>0</v>
      </c>
      <c r="K24" s="18">
        <f>531205139/$C$32</f>
        <v>0.19621841989415642</v>
      </c>
      <c r="L24" s="6">
        <f>554567769/$C$32</f>
        <v>0.20484819021565895</v>
      </c>
      <c r="M24" s="6">
        <f>1011857582/$C$32</f>
        <v>0.37376350739325548</v>
      </c>
      <c r="N24" s="7">
        <f>577570191/$C$32</f>
        <v>0.2133449056410317</v>
      </c>
      <c r="O24" s="2"/>
    </row>
    <row r="25" spans="1:15" x14ac:dyDescent="0.2">
      <c r="A25" s="10" t="s">
        <v>54</v>
      </c>
      <c r="B25" s="24" t="s">
        <v>55</v>
      </c>
      <c r="C25" s="13">
        <v>58954292</v>
      </c>
      <c r="D25" s="120">
        <f t="shared" si="1"/>
        <v>2.1776743432858067E-2</v>
      </c>
      <c r="E25" s="35">
        <f>0/$C$25</f>
        <v>0</v>
      </c>
      <c r="F25" s="35">
        <f>58954292/$C$25</f>
        <v>1</v>
      </c>
      <c r="G25" s="35">
        <f>0/$C$25</f>
        <v>0</v>
      </c>
      <c r="H25" s="123" t="s">
        <v>15</v>
      </c>
      <c r="I25" s="35">
        <f>58954292/$C$25</f>
        <v>1</v>
      </c>
      <c r="J25" s="35">
        <f>0/$C$25</f>
        <v>0</v>
      </c>
      <c r="K25" s="18">
        <f>954363357/$C$32</f>
        <v>0.35252608863677187</v>
      </c>
      <c r="L25" s="6">
        <f>97278891/$C$32</f>
        <v>3.5933218411646192E-2</v>
      </c>
      <c r="M25" s="6">
        <f>469508745/$C$32</f>
        <v>0.17342878919397731</v>
      </c>
      <c r="N25" s="7">
        <f>1186290956/$C$32</f>
        <v>0.43819631971039391</v>
      </c>
      <c r="O25" s="2"/>
    </row>
    <row r="26" spans="1:15" x14ac:dyDescent="0.2">
      <c r="A26" s="8" t="s">
        <v>45</v>
      </c>
      <c r="B26" s="5" t="s">
        <v>46</v>
      </c>
      <c r="C26" s="26" t="s">
        <v>68</v>
      </c>
      <c r="D26" s="119"/>
      <c r="E26" s="36"/>
      <c r="F26" s="36"/>
      <c r="G26" s="36"/>
      <c r="H26" s="31"/>
      <c r="I26" s="30"/>
      <c r="J26" s="30"/>
      <c r="K26" s="30"/>
      <c r="L26" s="30"/>
      <c r="M26" s="30"/>
      <c r="N26" s="30"/>
      <c r="O26" s="2"/>
    </row>
    <row r="27" spans="1:15" x14ac:dyDescent="0.2">
      <c r="A27" s="8" t="s">
        <v>56</v>
      </c>
      <c r="B27" s="25" t="s">
        <v>57</v>
      </c>
      <c r="C27" s="14">
        <v>298900100</v>
      </c>
      <c r="D27" s="120">
        <f t="shared" si="1"/>
        <v>0.11040876870772394</v>
      </c>
      <c r="E27" s="35">
        <f>298900100/$C$27</f>
        <v>1</v>
      </c>
      <c r="F27" s="35">
        <f>0/$C$27</f>
        <v>0</v>
      </c>
      <c r="G27" s="35">
        <f>0/$C$27</f>
        <v>0</v>
      </c>
      <c r="H27" s="123" t="s">
        <v>15</v>
      </c>
      <c r="I27" s="35">
        <f>298900100/$C$27</f>
        <v>1</v>
      </c>
      <c r="J27" s="35">
        <f>0/$C$27</f>
        <v>0</v>
      </c>
      <c r="K27" s="18">
        <f>148820033/$C$32</f>
        <v>5.4971666461713607E-2</v>
      </c>
      <c r="L27" s="18">
        <f>954094129/$C$32</f>
        <v>0.35242664025257375</v>
      </c>
      <c r="M27" s="18">
        <f>813532109/$C$32</f>
        <v>0.30050534763584175</v>
      </c>
      <c r="N27" s="23">
        <f>790701997/$C$32</f>
        <v>0.29207228068344049</v>
      </c>
      <c r="O27" s="2"/>
    </row>
    <row r="28" spans="1:15" s="28" customFormat="1" x14ac:dyDescent="0.2">
      <c r="A28" s="8" t="s">
        <v>47</v>
      </c>
      <c r="B28" s="5" t="s">
        <v>48</v>
      </c>
      <c r="C28" s="26" t="s">
        <v>68</v>
      </c>
      <c r="D28" s="119"/>
      <c r="E28" s="36"/>
      <c r="F28" s="36"/>
      <c r="G28" s="36"/>
      <c r="H28" s="31"/>
      <c r="I28" s="30"/>
      <c r="J28" s="30"/>
      <c r="K28" s="30"/>
      <c r="L28" s="30"/>
      <c r="M28" s="30"/>
      <c r="N28" s="30"/>
      <c r="O28" s="33"/>
    </row>
    <row r="29" spans="1:15" x14ac:dyDescent="0.2">
      <c r="A29" s="11" t="s">
        <v>49</v>
      </c>
      <c r="B29" s="5" t="s">
        <v>50</v>
      </c>
      <c r="C29" s="13">
        <v>36641460</v>
      </c>
      <c r="D29" s="120">
        <f t="shared" si="1"/>
        <v>1.3534751183600535E-2</v>
      </c>
      <c r="E29" s="35">
        <f>36641460/$C$29</f>
        <v>1</v>
      </c>
      <c r="F29" s="35">
        <f>0/$C$29</f>
        <v>0</v>
      </c>
      <c r="G29" s="35">
        <f>0/$C$29</f>
        <v>0</v>
      </c>
      <c r="H29" s="123" t="s">
        <v>15</v>
      </c>
      <c r="I29" s="35">
        <f>0/$C$29</f>
        <v>0</v>
      </c>
      <c r="J29" s="35">
        <f>0/$C$29</f>
        <v>0</v>
      </c>
      <c r="K29" s="18">
        <f>780566186/$C$32</f>
        <v>0.28832827921818771</v>
      </c>
      <c r="L29" s="18">
        <f>909593883/$C$32</f>
        <v>0.33598898309538039</v>
      </c>
      <c r="M29" s="18">
        <f>177978745/$C$32</f>
        <v>6.5742413908847733E-2</v>
      </c>
      <c r="N29" s="23">
        <f>839199064/$C$32</f>
        <v>0.30998629761888474</v>
      </c>
      <c r="O29" s="2"/>
    </row>
    <row r="30" spans="1:15" ht="13.5" thickBot="1" x14ac:dyDescent="0.25">
      <c r="A30" s="47" t="s">
        <v>58</v>
      </c>
      <c r="B30" s="48" t="s">
        <v>51</v>
      </c>
      <c r="C30" s="49">
        <v>13566230</v>
      </c>
      <c r="D30" s="121">
        <f t="shared" si="1"/>
        <v>5.0111416834781441E-3</v>
      </c>
      <c r="E30" s="50">
        <f>0/$C$21</f>
        <v>0</v>
      </c>
      <c r="F30" s="50">
        <f>13566230/$C$30</f>
        <v>1</v>
      </c>
      <c r="G30" s="50">
        <f>0/$C$21</f>
        <v>0</v>
      </c>
      <c r="H30" s="124" t="s">
        <v>15</v>
      </c>
      <c r="I30" s="50">
        <f>13566230/$C$30</f>
        <v>1</v>
      </c>
      <c r="J30" s="50">
        <f>0/$C$30</f>
        <v>0</v>
      </c>
      <c r="K30" s="51">
        <f>591620903/$C$32</f>
        <v>0.21853500698722342</v>
      </c>
      <c r="L30" s="51">
        <f>773464003/$C$32</f>
        <v>0.28570484991800704</v>
      </c>
      <c r="M30" s="51">
        <f>1019036467/$C$32</f>
        <v>0.37641526914758194</v>
      </c>
      <c r="N30" s="52">
        <f>323114188/$C$32</f>
        <v>0.11935305357567974</v>
      </c>
      <c r="O30" s="2"/>
    </row>
    <row r="31" spans="1:15" ht="13.5" thickBot="1" x14ac:dyDescent="0.25">
      <c r="A31" s="37"/>
      <c r="B31" s="53"/>
      <c r="C31" s="132"/>
      <c r="D31" s="133"/>
      <c r="E31" s="133"/>
      <c r="F31" s="133"/>
      <c r="G31" s="133"/>
      <c r="H31" s="133"/>
      <c r="I31" s="133"/>
      <c r="J31" s="133"/>
      <c r="K31" s="133"/>
      <c r="L31" s="133"/>
      <c r="M31" s="133"/>
      <c r="N31" s="134"/>
      <c r="O31" s="2"/>
    </row>
    <row r="32" spans="1:15" x14ac:dyDescent="0.2">
      <c r="A32" s="12"/>
      <c r="B32" s="69" t="s">
        <v>52</v>
      </c>
      <c r="C32" s="71">
        <f>SUM(C6:C18:C21:C30)</f>
        <v>2707213417</v>
      </c>
      <c r="D32" s="34">
        <f>SUM(D6:D18:D21:D24:D25:D27:D29:D30)</f>
        <v>1.0000000000000002</v>
      </c>
      <c r="E32" s="12"/>
      <c r="F32" s="12"/>
      <c r="G32" s="12"/>
      <c r="H32" s="12"/>
      <c r="I32" s="12"/>
      <c r="J32" s="12"/>
      <c r="K32" s="12"/>
      <c r="L32" s="12"/>
      <c r="M32" s="12"/>
      <c r="N32" s="12"/>
    </row>
    <row r="33" spans="2:3" x14ac:dyDescent="0.2">
      <c r="B33" s="1"/>
      <c r="C33" s="17"/>
    </row>
    <row r="40" spans="2:3" ht="16.5" customHeight="1" x14ac:dyDescent="0.2"/>
    <row r="52" ht="16.5" customHeight="1" x14ac:dyDescent="0.2"/>
    <row r="54" ht="31.5" customHeight="1" x14ac:dyDescent="0.2"/>
  </sheetData>
  <mergeCells count="14">
    <mergeCell ref="A4:B4"/>
    <mergeCell ref="C31:N31"/>
    <mergeCell ref="A20:N20"/>
    <mergeCell ref="O1:R1"/>
    <mergeCell ref="A1:N1"/>
    <mergeCell ref="A2:B2"/>
    <mergeCell ref="C2:D3"/>
    <mergeCell ref="E2:H2"/>
    <mergeCell ref="I2:J2"/>
    <mergeCell ref="K2:N2"/>
    <mergeCell ref="E3:H3"/>
    <mergeCell ref="I3:J3"/>
    <mergeCell ref="K3:N3"/>
    <mergeCell ref="A3:B3"/>
  </mergeCells>
  <pageMargins left="0.25" right="0.25" top="0.75" bottom="1" header="0.3" footer="0.3"/>
  <pageSetup paperSize="5" scale="75" orientation="landscape" r:id="rId1"/>
  <ignoredErrors>
    <ignoredError sqref="F10:G10 J7 L18 F21 F25 F30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zoomScaleNormal="100" workbookViewId="0">
      <selection activeCell="L8" sqref="L8"/>
    </sheetView>
  </sheetViews>
  <sheetFormatPr defaultRowHeight="12.75" x14ac:dyDescent="0.2"/>
  <cols>
    <col min="1" max="1" width="6.28515625" customWidth="1"/>
    <col min="2" max="2" width="78" customWidth="1"/>
    <col min="3" max="3" width="14" bestFit="1" customWidth="1"/>
    <col min="4" max="4" width="10.140625" customWidth="1"/>
    <col min="14" max="14" width="11.7109375" customWidth="1"/>
  </cols>
  <sheetData>
    <row r="1" spans="1:14" ht="16.5" thickBot="1" x14ac:dyDescent="0.3">
      <c r="A1" s="151" t="s">
        <v>27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2"/>
    </row>
    <row r="2" spans="1:14" ht="13.5" thickBot="1" x14ac:dyDescent="0.25">
      <c r="A2" s="130"/>
      <c r="B2" s="131"/>
      <c r="C2" s="129"/>
      <c r="D2" s="129"/>
      <c r="E2" s="155" t="s">
        <v>17</v>
      </c>
      <c r="F2" s="156"/>
      <c r="G2" s="156"/>
      <c r="H2" s="156"/>
      <c r="I2" s="156"/>
      <c r="J2" s="156"/>
      <c r="K2" s="157"/>
    </row>
    <row r="3" spans="1:14" ht="13.5" thickBot="1" x14ac:dyDescent="0.25">
      <c r="A3" s="158"/>
      <c r="B3" s="159"/>
      <c r="C3" s="129"/>
      <c r="D3" s="129"/>
      <c r="E3" s="144" t="s">
        <v>26</v>
      </c>
      <c r="F3" s="145"/>
      <c r="G3" s="145"/>
      <c r="H3" s="145"/>
      <c r="I3" s="145"/>
      <c r="J3" s="145"/>
      <c r="K3" s="146"/>
    </row>
    <row r="4" spans="1:14" ht="23.25" thickBot="1" x14ac:dyDescent="0.25">
      <c r="A4" s="153"/>
      <c r="B4" s="154"/>
      <c r="C4" s="16" t="s">
        <v>2</v>
      </c>
      <c r="D4" s="15" t="s">
        <v>14</v>
      </c>
      <c r="E4" s="64" t="s">
        <v>18</v>
      </c>
      <c r="F4" s="82" t="s">
        <v>24</v>
      </c>
      <c r="G4" s="83" t="s">
        <v>21</v>
      </c>
      <c r="H4" s="106" t="s">
        <v>22</v>
      </c>
      <c r="I4" s="107" t="s">
        <v>20</v>
      </c>
      <c r="J4" s="83" t="s">
        <v>19</v>
      </c>
      <c r="K4" s="107" t="s">
        <v>23</v>
      </c>
    </row>
    <row r="5" spans="1:14" ht="13.5" thickBot="1" x14ac:dyDescent="0.25">
      <c r="A5" s="81"/>
      <c r="B5" s="37"/>
      <c r="C5" s="38"/>
      <c r="D5" s="39"/>
      <c r="E5" s="40"/>
      <c r="F5" s="40"/>
      <c r="G5" s="40"/>
      <c r="H5" s="40"/>
      <c r="I5" s="40"/>
      <c r="J5" s="40"/>
      <c r="K5" s="40"/>
    </row>
    <row r="6" spans="1:14" ht="13.5" thickBot="1" x14ac:dyDescent="0.25">
      <c r="A6" s="95" t="s">
        <v>53</v>
      </c>
      <c r="B6" s="94"/>
      <c r="C6" s="40"/>
      <c r="D6" s="68"/>
      <c r="E6" s="40"/>
      <c r="F6" s="40"/>
      <c r="G6" s="40"/>
      <c r="H6" s="40"/>
      <c r="I6" s="40"/>
      <c r="J6" s="40"/>
      <c r="K6" s="68"/>
      <c r="L6" s="2"/>
    </row>
    <row r="7" spans="1:14" x14ac:dyDescent="0.2">
      <c r="A7" s="77" t="s">
        <v>30</v>
      </c>
      <c r="B7" s="42" t="s">
        <v>31</v>
      </c>
      <c r="C7" s="13">
        <v>143100239</v>
      </c>
      <c r="D7" s="22">
        <f t="shared" ref="D7:D19" si="0">C7/$C$33</f>
        <v>5.2858868865453768E-2</v>
      </c>
      <c r="E7" s="98">
        <f>114937965/$C$7</f>
        <v>0.80319897299402832</v>
      </c>
      <c r="F7" s="98">
        <f>3551033/$C$7</f>
        <v>2.4815003977736193E-2</v>
      </c>
      <c r="G7" s="101">
        <f>12646656/$C$7</f>
        <v>8.8376204598791766E-2</v>
      </c>
      <c r="H7" s="101">
        <f>3237314/$C$7</f>
        <v>2.2622701559569025E-2</v>
      </c>
      <c r="I7" s="101">
        <f>3098314/$C$7</f>
        <v>2.1651354474677014E-2</v>
      </c>
      <c r="J7" s="101">
        <f>29068377/$C$7</f>
        <v>0.20313297310425876</v>
      </c>
      <c r="K7" s="98">
        <f t="shared" ref="K7" si="1">0/$C$7</f>
        <v>0</v>
      </c>
    </row>
    <row r="8" spans="1:14" x14ac:dyDescent="0.2">
      <c r="A8" s="9" t="s">
        <v>32</v>
      </c>
      <c r="B8" s="5" t="s">
        <v>33</v>
      </c>
      <c r="C8" s="14">
        <v>110672819</v>
      </c>
      <c r="D8" s="7">
        <f t="shared" si="0"/>
        <v>4.0880714577220936E-2</v>
      </c>
      <c r="E8" s="98">
        <f>18804077/$C$8</f>
        <v>0.16990691273527603</v>
      </c>
      <c r="F8" s="98">
        <f>675154/$C$8</f>
        <v>6.1004500120305062E-3</v>
      </c>
      <c r="G8" s="101">
        <f>3423036/$C$8</f>
        <v>3.0929328727047244E-2</v>
      </c>
      <c r="H8" s="101">
        <f>8034254/$C$8</f>
        <v>7.2594644941681663E-2</v>
      </c>
      <c r="I8" s="101">
        <f>8034254/$C$8</f>
        <v>7.2594644941681663E-2</v>
      </c>
      <c r="J8" s="101">
        <f>3701156/$C$8</f>
        <v>3.3442321551419053E-2</v>
      </c>
      <c r="K8" s="98">
        <f t="shared" ref="K8" si="2">0/$C$8</f>
        <v>0</v>
      </c>
      <c r="L8" s="2"/>
    </row>
    <row r="9" spans="1:14" x14ac:dyDescent="0.2">
      <c r="A9" s="9" t="s">
        <v>13</v>
      </c>
      <c r="B9" s="5" t="s">
        <v>34</v>
      </c>
      <c r="C9" s="14">
        <v>11157838</v>
      </c>
      <c r="D9" s="7">
        <f t="shared" si="0"/>
        <v>4.1215213879829855E-3</v>
      </c>
      <c r="E9" s="98">
        <f>10863752/$C$9</f>
        <v>0.97364310182671587</v>
      </c>
      <c r="F9" s="98">
        <f>192999/$C$9</f>
        <v>1.7297168143147443E-2</v>
      </c>
      <c r="G9" s="101">
        <f>5818913/$C$9</f>
        <v>0.52150900559767943</v>
      </c>
      <c r="H9" s="101">
        <f>2172684/$C$9</f>
        <v>0.19472266939168681</v>
      </c>
      <c r="I9" s="115">
        <f>1882704/$C$9</f>
        <v>0.16873376365564727</v>
      </c>
      <c r="J9" s="101">
        <f>201235/$C$9</f>
        <v>1.8035303971970198E-2</v>
      </c>
      <c r="K9" s="98">
        <v>0</v>
      </c>
    </row>
    <row r="10" spans="1:14" x14ac:dyDescent="0.2">
      <c r="A10" s="8" t="s">
        <v>35</v>
      </c>
      <c r="B10" s="5" t="s">
        <v>36</v>
      </c>
      <c r="C10" s="14">
        <v>5870137</v>
      </c>
      <c r="D10" s="7">
        <f t="shared" si="0"/>
        <v>2.1683318216208442E-3</v>
      </c>
      <c r="E10" s="98">
        <f>1913045/$C$10</f>
        <v>0.32589443823883496</v>
      </c>
      <c r="F10" s="98">
        <f>0/$C$10</f>
        <v>0</v>
      </c>
      <c r="G10" s="101">
        <f>0/$C$10</f>
        <v>0</v>
      </c>
      <c r="H10" s="101">
        <f>0/$C$10</f>
        <v>0</v>
      </c>
      <c r="I10" s="101">
        <f t="shared" ref="I10:K10" si="3">0/$C$10</f>
        <v>0</v>
      </c>
      <c r="J10" s="101">
        <f t="shared" si="3"/>
        <v>0</v>
      </c>
      <c r="K10" s="101">
        <f t="shared" si="3"/>
        <v>0</v>
      </c>
    </row>
    <row r="11" spans="1:14" x14ac:dyDescent="0.2">
      <c r="A11" s="10" t="s">
        <v>37</v>
      </c>
      <c r="B11" s="5" t="s">
        <v>38</v>
      </c>
      <c r="C11" s="13">
        <v>1048594898</v>
      </c>
      <c r="D11" s="7">
        <f t="shared" si="0"/>
        <v>0.38733366620279275</v>
      </c>
      <c r="E11" s="101">
        <f>0/$C$11</f>
        <v>0</v>
      </c>
      <c r="F11" s="98">
        <f>0/$C$11</f>
        <v>0</v>
      </c>
      <c r="G11" s="101">
        <f>0/$C$11</f>
        <v>0</v>
      </c>
      <c r="H11" s="101">
        <f>0/$C$11</f>
        <v>0</v>
      </c>
      <c r="I11" s="101">
        <f t="shared" ref="I11:K11" si="4">0/$C$11</f>
        <v>0</v>
      </c>
      <c r="J11" s="101">
        <f t="shared" si="4"/>
        <v>0</v>
      </c>
      <c r="K11" s="101">
        <f t="shared" si="4"/>
        <v>0</v>
      </c>
    </row>
    <row r="12" spans="1:14" x14ac:dyDescent="0.2">
      <c r="A12" s="11" t="s">
        <v>66</v>
      </c>
      <c r="B12" s="25" t="s">
        <v>67</v>
      </c>
      <c r="C12" s="32">
        <v>188140</v>
      </c>
      <c r="D12" s="7">
        <f t="shared" si="0"/>
        <v>6.9495813968182621E-5</v>
      </c>
      <c r="E12" s="98">
        <f>0/$C$12</f>
        <v>0</v>
      </c>
      <c r="F12" s="98">
        <f>0/$C$12</f>
        <v>0</v>
      </c>
      <c r="G12" s="101">
        <f>0/$C$12</f>
        <v>0</v>
      </c>
      <c r="H12" s="101">
        <f>0/$C$12</f>
        <v>0</v>
      </c>
      <c r="I12" s="101">
        <f t="shared" ref="I12:K12" si="5">0/$C$12</f>
        <v>0</v>
      </c>
      <c r="J12" s="101">
        <f>188140/$C$12</f>
        <v>1</v>
      </c>
      <c r="K12" s="101">
        <f t="shared" si="5"/>
        <v>0</v>
      </c>
    </row>
    <row r="13" spans="1:14" x14ac:dyDescent="0.2">
      <c r="A13" s="10" t="s">
        <v>41</v>
      </c>
      <c r="B13" s="5" t="s">
        <v>42</v>
      </c>
      <c r="C13" s="13">
        <v>113155534</v>
      </c>
      <c r="D13" s="7">
        <f t="shared" si="0"/>
        <v>4.1797788563486572E-2</v>
      </c>
      <c r="E13" s="98">
        <f>0/$C$13</f>
        <v>0</v>
      </c>
      <c r="F13" s="98">
        <f>6158435/$C$13</f>
        <v>5.4424514491708376E-2</v>
      </c>
      <c r="G13" s="101">
        <f>22176197/$C$13</f>
        <v>0.19597978301264524</v>
      </c>
      <c r="H13" s="101">
        <f>5275942/$C$13</f>
        <v>4.6625576438886318E-2</v>
      </c>
      <c r="I13" s="101">
        <f>3220323/$C$13</f>
        <v>2.8459262098484726E-2</v>
      </c>
      <c r="J13" s="101">
        <f>833867/$C$13</f>
        <v>7.3692109481804042E-3</v>
      </c>
      <c r="K13" s="101">
        <f>180932/$C$13</f>
        <v>1.5989673116650221E-3</v>
      </c>
    </row>
    <row r="14" spans="1:14" x14ac:dyDescent="0.2">
      <c r="A14" s="19" t="s">
        <v>62</v>
      </c>
      <c r="B14" s="25" t="s">
        <v>64</v>
      </c>
      <c r="C14" s="13">
        <v>391553</v>
      </c>
      <c r="D14" s="7">
        <f t="shared" si="0"/>
        <v>1.4463322231680561E-4</v>
      </c>
      <c r="E14" s="98">
        <f>0/$C$14</f>
        <v>0</v>
      </c>
      <c r="F14" s="98">
        <f>192506/$C$14</f>
        <v>0.49164736319221153</v>
      </c>
      <c r="G14" s="101">
        <f>255545/$C$14</f>
        <v>0.65264472497976012</v>
      </c>
      <c r="H14" s="101">
        <f>0/$C$14</f>
        <v>0</v>
      </c>
      <c r="I14" s="101">
        <f t="shared" ref="I14:K14" si="6">0/$C$14</f>
        <v>0</v>
      </c>
      <c r="J14" s="101">
        <f>255545/$C$14</f>
        <v>0.65264472497976012</v>
      </c>
      <c r="K14" s="101">
        <f t="shared" si="6"/>
        <v>0</v>
      </c>
    </row>
    <row r="15" spans="1:14" x14ac:dyDescent="0.2">
      <c r="A15" s="11" t="s">
        <v>63</v>
      </c>
      <c r="B15" s="25" t="s">
        <v>65</v>
      </c>
      <c r="C15" s="13">
        <v>199750</v>
      </c>
      <c r="D15" s="7">
        <f t="shared" si="0"/>
        <v>7.3784356543767828E-5</v>
      </c>
      <c r="E15" s="98">
        <f>0/$C$15</f>
        <v>0</v>
      </c>
      <c r="F15" s="98">
        <f>0/$C$15</f>
        <v>0</v>
      </c>
      <c r="G15" s="101">
        <f>0/$C$15</f>
        <v>0</v>
      </c>
      <c r="H15" s="101">
        <f>0/$C$15</f>
        <v>0</v>
      </c>
      <c r="I15" s="101">
        <f t="shared" ref="I15:K15" si="7">0/$C$15</f>
        <v>0</v>
      </c>
      <c r="J15" s="101">
        <f t="shared" si="7"/>
        <v>0</v>
      </c>
      <c r="K15" s="101">
        <f t="shared" si="7"/>
        <v>0</v>
      </c>
      <c r="L15" s="1"/>
    </row>
    <row r="16" spans="1:14" x14ac:dyDescent="0.2">
      <c r="A16" s="11" t="s">
        <v>44</v>
      </c>
      <c r="B16" s="5" t="s">
        <v>43</v>
      </c>
      <c r="C16" s="13">
        <v>12959864</v>
      </c>
      <c r="D16" s="7">
        <f t="shared" si="0"/>
        <v>4.7871600807746738E-3</v>
      </c>
      <c r="E16" s="98">
        <f>0/$C$16</f>
        <v>0</v>
      </c>
      <c r="F16" s="98">
        <f>555234/$C$16</f>
        <v>4.2842579212250993E-2</v>
      </c>
      <c r="G16" s="101">
        <f>7109169/$C$16</f>
        <v>0.54855274715845781</v>
      </c>
      <c r="H16" s="101">
        <f>711684/$C$16</f>
        <v>5.4914465151794802E-2</v>
      </c>
      <c r="I16" s="101">
        <f>711684/$C$16</f>
        <v>5.4914465151794802E-2</v>
      </c>
      <c r="J16" s="101">
        <f t="shared" ref="J16:K16" si="8">0/$C$16</f>
        <v>0</v>
      </c>
      <c r="K16" s="101">
        <f t="shared" si="8"/>
        <v>0</v>
      </c>
    </row>
    <row r="17" spans="1:12" x14ac:dyDescent="0.2">
      <c r="A17" s="10" t="s">
        <v>45</v>
      </c>
      <c r="B17" s="5" t="s">
        <v>46</v>
      </c>
      <c r="C17" s="14">
        <v>533671003</v>
      </c>
      <c r="D17" s="7">
        <f t="shared" si="0"/>
        <v>0.19712926939885952</v>
      </c>
      <c r="E17" s="98">
        <f>0/$C$17</f>
        <v>0</v>
      </c>
      <c r="F17" s="98">
        <f>0/$C$17</f>
        <v>0</v>
      </c>
      <c r="G17" s="101">
        <f>0/$C$17</f>
        <v>0</v>
      </c>
      <c r="H17" s="101">
        <f>0/$C$17</f>
        <v>0</v>
      </c>
      <c r="I17" s="101">
        <f t="shared" ref="I17:K17" si="9">0/$C$17</f>
        <v>0</v>
      </c>
      <c r="J17" s="101">
        <f t="shared" si="9"/>
        <v>0</v>
      </c>
      <c r="K17" s="101">
        <f t="shared" si="9"/>
        <v>0</v>
      </c>
    </row>
    <row r="18" spans="1:12" x14ac:dyDescent="0.2">
      <c r="A18" s="10" t="s">
        <v>60</v>
      </c>
      <c r="B18" s="27" t="s">
        <v>61</v>
      </c>
      <c r="C18" s="13">
        <v>9261883</v>
      </c>
      <c r="D18" s="7">
        <f t="shared" si="0"/>
        <v>3.4211868712824126E-3</v>
      </c>
      <c r="E18" s="98">
        <f>0/$C$17</f>
        <v>0</v>
      </c>
      <c r="F18" s="98">
        <f>1878799/$C$18</f>
        <v>0.20285281081611589</v>
      </c>
      <c r="G18" s="101">
        <f>2735634/$C$18</f>
        <v>0.29536477625554114</v>
      </c>
      <c r="H18" s="101">
        <f>384128/$C$18</f>
        <v>4.1474071741135148E-2</v>
      </c>
      <c r="I18" s="101">
        <f>204128/$C$18</f>
        <v>2.203957877679949E-2</v>
      </c>
      <c r="J18" s="101">
        <f t="shared" ref="J18:K18" si="10">0/$C$18</f>
        <v>0</v>
      </c>
      <c r="K18" s="101">
        <f t="shared" si="10"/>
        <v>0</v>
      </c>
    </row>
    <row r="19" spans="1:12" ht="13.5" thickBot="1" x14ac:dyDescent="0.25">
      <c r="A19" s="8" t="s">
        <v>47</v>
      </c>
      <c r="B19" s="89" t="s">
        <v>48</v>
      </c>
      <c r="C19" s="14">
        <v>32145495</v>
      </c>
      <c r="D19" s="96">
        <f t="shared" si="0"/>
        <v>1.1874015841581506E-2</v>
      </c>
      <c r="E19" s="99">
        <f>0/$C$19</f>
        <v>0</v>
      </c>
      <c r="F19" s="100">
        <f>0/$C$19</f>
        <v>0</v>
      </c>
      <c r="G19" s="104">
        <f>0/$C$19</f>
        <v>0</v>
      </c>
      <c r="H19" s="103">
        <f>0/$C$19</f>
        <v>0</v>
      </c>
      <c r="I19" s="103">
        <f t="shared" ref="I19:K19" si="11">0/$C$19</f>
        <v>0</v>
      </c>
      <c r="J19" s="103">
        <f t="shared" si="11"/>
        <v>0</v>
      </c>
      <c r="K19" s="103">
        <f t="shared" si="11"/>
        <v>0</v>
      </c>
    </row>
    <row r="20" spans="1:12" ht="13.5" thickBot="1" x14ac:dyDescent="0.25">
      <c r="A20" s="91"/>
      <c r="B20" s="90"/>
      <c r="C20" s="38"/>
      <c r="D20" s="38"/>
      <c r="E20" s="40"/>
      <c r="F20" s="97"/>
      <c r="G20" s="40"/>
      <c r="H20" s="40"/>
      <c r="I20" s="40"/>
      <c r="J20" s="40"/>
      <c r="K20" s="40"/>
    </row>
    <row r="21" spans="1:12" ht="13.5" thickBot="1" x14ac:dyDescent="0.25">
      <c r="A21" s="93" t="s">
        <v>16</v>
      </c>
      <c r="B21" s="92"/>
      <c r="C21" s="41"/>
      <c r="D21" s="80"/>
      <c r="E21" s="80"/>
      <c r="F21" s="80"/>
      <c r="G21" s="80"/>
      <c r="H21" s="40"/>
      <c r="I21" s="40"/>
      <c r="J21" s="80"/>
      <c r="K21" s="40"/>
      <c r="L21" s="2"/>
    </row>
    <row r="22" spans="1:12" x14ac:dyDescent="0.2">
      <c r="A22" s="77" t="s">
        <v>28</v>
      </c>
      <c r="B22" s="43" t="s">
        <v>29</v>
      </c>
      <c r="C22" s="20">
        <v>19688603</v>
      </c>
      <c r="D22" s="118">
        <f t="shared" ref="D22:D31" si="12">C22/$C$33</f>
        <v>7.2726453246593084E-3</v>
      </c>
      <c r="E22" s="99">
        <f>0/$C$22</f>
        <v>0</v>
      </c>
      <c r="F22" s="99">
        <f>6332960/$C$22</f>
        <v>0.32165613781739616</v>
      </c>
      <c r="G22" s="6">
        <f>10393816/$C$33</f>
        <v>3.8393042582944618E-3</v>
      </c>
      <c r="H22" s="109">
        <f>0/$C$22</f>
        <v>0</v>
      </c>
      <c r="I22" s="109">
        <f t="shared" ref="I22:K22" si="13">0/$C$22</f>
        <v>0</v>
      </c>
      <c r="J22" s="101">
        <f t="shared" si="13"/>
        <v>0</v>
      </c>
      <c r="K22" s="109">
        <f t="shared" si="13"/>
        <v>0</v>
      </c>
      <c r="L22" s="2"/>
    </row>
    <row r="23" spans="1:12" x14ac:dyDescent="0.2">
      <c r="A23" s="9" t="s">
        <v>32</v>
      </c>
      <c r="B23" s="5" t="s">
        <v>33</v>
      </c>
      <c r="C23" s="26" t="s">
        <v>68</v>
      </c>
      <c r="D23" s="119"/>
      <c r="E23" s="36"/>
      <c r="F23" s="36"/>
      <c r="G23" s="36"/>
      <c r="H23" s="108"/>
      <c r="I23" s="108"/>
      <c r="J23" s="30"/>
      <c r="K23" s="110"/>
    </row>
    <row r="24" spans="1:12" x14ac:dyDescent="0.2">
      <c r="A24" s="8" t="s">
        <v>37</v>
      </c>
      <c r="B24" s="5" t="s">
        <v>38</v>
      </c>
      <c r="C24" s="26" t="s">
        <v>68</v>
      </c>
      <c r="D24" s="119"/>
      <c r="E24" s="36"/>
      <c r="F24" s="36"/>
      <c r="G24" s="36"/>
      <c r="H24" s="110"/>
      <c r="I24" s="112"/>
      <c r="J24" s="30"/>
      <c r="K24" s="110"/>
    </row>
    <row r="25" spans="1:12" x14ac:dyDescent="0.2">
      <c r="A25" s="10" t="s">
        <v>39</v>
      </c>
      <c r="B25" s="5" t="s">
        <v>40</v>
      </c>
      <c r="C25" s="13">
        <v>258093579</v>
      </c>
      <c r="D25" s="120">
        <f t="shared" si="12"/>
        <v>9.533551266379528E-2</v>
      </c>
      <c r="E25" s="99">
        <f>0/$C$25</f>
        <v>0</v>
      </c>
      <c r="F25" s="99">
        <f>1340006/$C$25</f>
        <v>5.1919385410204256E-3</v>
      </c>
      <c r="G25" s="102">
        <f>242956/$C$25</f>
        <v>9.4134848662779009E-4</v>
      </c>
      <c r="H25" s="111">
        <f>42864595/$C$25</f>
        <v>0.16608160174337386</v>
      </c>
      <c r="I25" s="102">
        <f>4058122/$C$25</f>
        <v>1.5723451996455907E-2</v>
      </c>
      <c r="J25" s="101">
        <f>21090492/$C$25</f>
        <v>8.1716453705343833E-2</v>
      </c>
      <c r="K25" s="111">
        <f t="shared" ref="K25" si="14">0/$C$25</f>
        <v>0</v>
      </c>
    </row>
    <row r="26" spans="1:12" x14ac:dyDescent="0.2">
      <c r="A26" s="10" t="s">
        <v>54</v>
      </c>
      <c r="B26" s="24" t="s">
        <v>55</v>
      </c>
      <c r="C26" s="13">
        <v>58954292</v>
      </c>
      <c r="D26" s="120">
        <f t="shared" si="12"/>
        <v>2.1776743432858067E-2</v>
      </c>
      <c r="E26" s="104">
        <f>0/$C$26</f>
        <v>0</v>
      </c>
      <c r="F26" s="99">
        <f>35126624/$C$26</f>
        <v>0.59582810357556326</v>
      </c>
      <c r="G26" s="102">
        <v>0</v>
      </c>
      <c r="H26" s="104">
        <f>56669938/$C$26</f>
        <v>0.96125211714865477</v>
      </c>
      <c r="I26" s="102">
        <f>42105206/$C$26</f>
        <v>0.71420085920122656</v>
      </c>
      <c r="J26" s="101">
        <f>35434619/$C$26</f>
        <v>0.60105240514125757</v>
      </c>
      <c r="K26" s="102">
        <f t="shared" ref="K26" si="15">0/$C$26</f>
        <v>0</v>
      </c>
    </row>
    <row r="27" spans="1:12" x14ac:dyDescent="0.2">
      <c r="A27" s="8" t="s">
        <v>45</v>
      </c>
      <c r="B27" s="5" t="s">
        <v>46</v>
      </c>
      <c r="C27" s="26" t="s">
        <v>68</v>
      </c>
      <c r="D27" s="119"/>
      <c r="E27" s="36"/>
      <c r="F27" s="36"/>
      <c r="G27" s="36"/>
      <c r="H27" s="113"/>
      <c r="I27" s="112"/>
      <c r="J27" s="30"/>
      <c r="K27" s="108"/>
      <c r="L27" s="2"/>
    </row>
    <row r="28" spans="1:12" x14ac:dyDescent="0.2">
      <c r="A28" s="8" t="s">
        <v>56</v>
      </c>
      <c r="B28" s="25" t="s">
        <v>57</v>
      </c>
      <c r="C28" s="14">
        <v>298900100</v>
      </c>
      <c r="D28" s="120">
        <f t="shared" si="12"/>
        <v>0.11040876870772394</v>
      </c>
      <c r="E28" s="99">
        <f>0/$C$28</f>
        <v>0</v>
      </c>
      <c r="F28" s="99">
        <f>0/$C$28</f>
        <v>0</v>
      </c>
      <c r="G28" s="102">
        <v>0</v>
      </c>
      <c r="H28" s="102">
        <f>0/$C$28</f>
        <v>0</v>
      </c>
      <c r="I28" s="114">
        <f t="shared" ref="I28:K28" si="16">0/$C$28</f>
        <v>0</v>
      </c>
      <c r="J28" s="101">
        <f t="shared" si="16"/>
        <v>0</v>
      </c>
      <c r="K28" s="102">
        <f t="shared" si="16"/>
        <v>0</v>
      </c>
    </row>
    <row r="29" spans="1:12" x14ac:dyDescent="0.2">
      <c r="A29" s="8" t="s">
        <v>47</v>
      </c>
      <c r="B29" s="5" t="s">
        <v>48</v>
      </c>
      <c r="C29" s="26" t="s">
        <v>68</v>
      </c>
      <c r="D29" s="119"/>
      <c r="E29" s="36"/>
      <c r="F29" s="36"/>
      <c r="G29" s="36"/>
      <c r="H29" s="112"/>
      <c r="I29" s="110"/>
      <c r="J29" s="30"/>
      <c r="K29" s="110"/>
    </row>
    <row r="30" spans="1:12" x14ac:dyDescent="0.2">
      <c r="A30" s="11" t="s">
        <v>49</v>
      </c>
      <c r="B30" s="5" t="s">
        <v>50</v>
      </c>
      <c r="C30" s="13">
        <v>36641460</v>
      </c>
      <c r="D30" s="120">
        <f t="shared" si="12"/>
        <v>1.3534751183600535E-2</v>
      </c>
      <c r="E30" s="99">
        <f>0/$C$30</f>
        <v>0</v>
      </c>
      <c r="F30" s="99">
        <f>2700874/$C$30</f>
        <v>7.3710872874607064E-2</v>
      </c>
      <c r="G30" s="102">
        <f>3345010/$C$30</f>
        <v>9.1290303388565849E-2</v>
      </c>
      <c r="H30" s="102">
        <f>0/$C$30</f>
        <v>0</v>
      </c>
      <c r="I30" s="102">
        <f>1865777/$C$30</f>
        <v>5.09198323429252E-2</v>
      </c>
      <c r="J30" s="101">
        <f>536220/$C$30</f>
        <v>1.4634242194497708E-2</v>
      </c>
      <c r="K30" s="111">
        <f t="shared" ref="K30" si="17">0/$C$30</f>
        <v>0</v>
      </c>
    </row>
    <row r="31" spans="1:12" ht="13.5" thickBot="1" x14ac:dyDescent="0.25">
      <c r="A31" s="4" t="s">
        <v>58</v>
      </c>
      <c r="B31" s="48" t="s">
        <v>51</v>
      </c>
      <c r="C31" s="14">
        <v>13566230</v>
      </c>
      <c r="D31" s="122">
        <f t="shared" si="12"/>
        <v>5.0111416834781441E-3</v>
      </c>
      <c r="E31" s="104">
        <f>0/$C$31</f>
        <v>0</v>
      </c>
      <c r="F31" s="100">
        <f>1723023/$C$31</f>
        <v>0.12700824031436883</v>
      </c>
      <c r="G31" s="103">
        <f>10620014/$C$31</f>
        <v>0.78282721139181632</v>
      </c>
      <c r="H31" s="103">
        <f>0/$C$31</f>
        <v>0</v>
      </c>
      <c r="I31" s="103">
        <f t="shared" ref="I31:K31" si="18">0/$C$31</f>
        <v>0</v>
      </c>
      <c r="J31" s="103">
        <f>10047937/$C$31</f>
        <v>0.74065801626538841</v>
      </c>
      <c r="K31" s="103">
        <f t="shared" si="18"/>
        <v>0</v>
      </c>
    </row>
    <row r="32" spans="1:12" ht="13.5" thickBot="1" x14ac:dyDescent="0.25">
      <c r="A32" s="37"/>
      <c r="B32" s="105"/>
      <c r="C32" s="38"/>
      <c r="D32" s="86"/>
      <c r="E32" s="38"/>
      <c r="F32" s="86"/>
      <c r="G32" s="79"/>
      <c r="H32" s="41"/>
      <c r="I32" s="38"/>
      <c r="J32" s="88"/>
      <c r="K32" s="80"/>
      <c r="L32" s="2"/>
    </row>
    <row r="33" spans="1:10" x14ac:dyDescent="0.2">
      <c r="A33" s="84"/>
      <c r="B33" s="3" t="s">
        <v>52</v>
      </c>
      <c r="C33" s="70">
        <f>SUM(C7:C19:C22:C31)</f>
        <v>2707213417</v>
      </c>
      <c r="D33" s="87">
        <f>SUM(D7:D19:D22:D25:D26:D28:D30:D31)</f>
        <v>1.0000000000000002</v>
      </c>
      <c r="E33" s="85"/>
      <c r="F33" s="85"/>
      <c r="G33" s="85"/>
      <c r="H33" s="85"/>
      <c r="J33" s="85"/>
    </row>
  </sheetData>
  <mergeCells count="6">
    <mergeCell ref="A1:N1"/>
    <mergeCell ref="A2:B2"/>
    <mergeCell ref="A4:B4"/>
    <mergeCell ref="E2:K2"/>
    <mergeCell ref="E3:K3"/>
    <mergeCell ref="A3:B3"/>
  </mergeCells>
  <pageMargins left="0.7" right="0.7" top="0.75" bottom="0.75" header="0.3" footer="0.3"/>
  <pageSetup orientation="portrait" r:id="rId1"/>
  <ignoredErrors>
    <ignoredError sqref="J12 J14 J31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Standard Summary</vt:lpstr>
      <vt:lpstr>Small Business</vt:lpstr>
      <vt:lpstr>'Standard Summary'!Print_Area</vt:lpstr>
      <vt:lpstr>'Standard Summary'!Print_Titles</vt:lpstr>
      <vt:lpstr>TOTAL_SBA_SUM</vt:lpstr>
    </vt:vector>
  </TitlesOfParts>
  <Company>OMB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swartz_j</dc:creator>
  <cp:lastModifiedBy>Brown, Curt -DM</cp:lastModifiedBy>
  <cp:lastPrinted>2015-02-06T17:08:30Z</cp:lastPrinted>
  <dcterms:created xsi:type="dcterms:W3CDTF">2010-07-26T17:11:06Z</dcterms:created>
  <dcterms:modified xsi:type="dcterms:W3CDTF">2016-02-16T00:46:26Z</dcterms:modified>
</cp:coreProperties>
</file>