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ASDE\2026\202605\"/>
    </mc:Choice>
  </mc:AlternateContent>
  <xr:revisionPtr revIDLastSave="0" documentId="13_ncr:1_{B3680F90-FA02-4AD6-948D-36C7F7BC4A19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ist S and D" sheetId="1" r:id="rId1"/>
    <sheet name="Upland&amp;ELS breakout" sheetId="9" r:id="rId2"/>
  </sheets>
  <definedNames>
    <definedName name="\H">'Hist S and D'!$AJ$9:$AJ$9</definedName>
    <definedName name="\L">'Hist S and D'!$AJ$7:$AJ$7</definedName>
    <definedName name="\P">'Hist S and D'!$AJ$5:$AJ$5</definedName>
    <definedName name="_1_1">#REF!</definedName>
    <definedName name="_10_4" localSheetId="0">'Hist S and D'!#REF!</definedName>
    <definedName name="_12_5" localSheetId="0">'Hist S and D'!#REF!</definedName>
    <definedName name="_16_6">'Hist S and D'!#REF!</definedName>
    <definedName name="_17FM_INC">'Hist S and D'!$T$1:$T$3</definedName>
    <definedName name="_18WORLD">#REF!</definedName>
    <definedName name="_6_2" localSheetId="0">'Hist S and D'!$B$34:$I$98</definedName>
    <definedName name="_8_3" localSheetId="0">'Hist S and D'!$B$104:$I$135</definedName>
    <definedName name="_PG4">#REF!</definedName>
    <definedName name="_PG5">#REF!</definedName>
    <definedName name="_PG6" localSheetId="0">'Hist S and D'!#REF!</definedName>
    <definedName name="COSTDATA">#REF!</definedName>
    <definedName name="COSTS">#REF!</definedName>
    <definedName name="CURRSD">#REF!</definedName>
    <definedName name="CYLOANS">#REF!</definedName>
    <definedName name="ELD">#REF!</definedName>
    <definedName name="ELS">#REF!</definedName>
    <definedName name="ELSOUT">#REF!</definedName>
    <definedName name="FMINC">#REF!</definedName>
    <definedName name="FORGRPH">#REF!</definedName>
    <definedName name="FYLOANS">#REF!</definedName>
    <definedName name="HIST">'Hist S and D'!$D$5:$P$59</definedName>
    <definedName name="LOANOUT">#REF!</definedName>
    <definedName name="_xlnm.Print_Area" localSheetId="1">'Upland&amp;ELS breakout'!$A$1:$J$61</definedName>
    <definedName name="_xlnm.Print_Titles" localSheetId="1">'Upland&amp;ELS breakout'!$A:$B</definedName>
    <definedName name="TOTOUT">#REF!</definedName>
    <definedName name="UPLAND">#REF!</definedName>
    <definedName name="UPLSU">#REF!</definedName>
    <definedName name="USPRODGRPH">#REF!</definedName>
    <definedName name="WORLD">#REF!</definedName>
    <definedName name="WRLDGRP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" l="1"/>
  <c r="H1" i="1"/>
  <c r="A2" i="1"/>
  <c r="J16" i="1"/>
  <c r="L16" i="1"/>
  <c r="L10" i="1"/>
  <c r="M16" i="1"/>
  <c r="M10" i="1"/>
  <c r="N16" i="1"/>
  <c r="N10" i="1"/>
  <c r="O16" i="1"/>
  <c r="O10" i="1"/>
  <c r="P16" i="1"/>
  <c r="P10" i="1"/>
  <c r="J17" i="1"/>
  <c r="K17" i="1"/>
  <c r="N17" i="1"/>
  <c r="BL17" i="1"/>
  <c r="L21" i="1"/>
  <c r="M21" i="1"/>
  <c r="N21" i="1"/>
  <c r="O21" i="1"/>
  <c r="P21" i="1"/>
  <c r="H24" i="1"/>
  <c r="AX25" i="1"/>
  <c r="AX34" i="1"/>
  <c r="B27" i="1"/>
  <c r="C27" i="1"/>
  <c r="D27" i="1"/>
  <c r="E27" i="1"/>
  <c r="F27" i="1"/>
  <c r="G27" i="1"/>
  <c r="H27" i="1"/>
  <c r="I27" i="1"/>
  <c r="J27" i="1"/>
  <c r="C29" i="1"/>
  <c r="D29" i="1"/>
  <c r="D32" i="1"/>
  <c r="E29" i="1"/>
  <c r="E32" i="1"/>
  <c r="F29" i="1"/>
  <c r="F32" i="1"/>
  <c r="G29" i="1"/>
  <c r="G32" i="1"/>
  <c r="H29" i="1"/>
  <c r="H32" i="1"/>
  <c r="I29" i="1"/>
  <c r="I32" i="1"/>
  <c r="J29" i="1"/>
  <c r="J32" i="1"/>
  <c r="K29" i="1"/>
  <c r="K32" i="1"/>
  <c r="L29" i="1"/>
  <c r="L32" i="1"/>
  <c r="M29" i="1"/>
  <c r="M32" i="1"/>
  <c r="N29" i="1"/>
  <c r="N32" i="1"/>
  <c r="O29" i="1"/>
  <c r="O32" i="1"/>
  <c r="P29" i="1"/>
  <c r="P32" i="1"/>
  <c r="BA30" i="1"/>
  <c r="BB30" i="1"/>
  <c r="BC30" i="1"/>
  <c r="BD30" i="1"/>
  <c r="CB30" i="1"/>
  <c r="BA31" i="1"/>
  <c r="BB31" i="1"/>
  <c r="BC31" i="1"/>
  <c r="BD31" i="1"/>
  <c r="B32" i="1"/>
  <c r="C32" i="1"/>
  <c r="AW32" i="1"/>
  <c r="AX32" i="1"/>
  <c r="BA32" i="1"/>
  <c r="BB32" i="1"/>
  <c r="BC32" i="1"/>
  <c r="BD32" i="1"/>
  <c r="AW33" i="1"/>
  <c r="AX33" i="1"/>
  <c r="BA33" i="1"/>
  <c r="BB33" i="1"/>
  <c r="BC33" i="1"/>
  <c r="BD33" i="1"/>
  <c r="AW34" i="1"/>
  <c r="B36" i="1"/>
  <c r="C36" i="1"/>
  <c r="C43" i="1"/>
  <c r="C55" i="1"/>
  <c r="D36" i="1"/>
  <c r="D43" i="1"/>
  <c r="D55" i="1"/>
  <c r="E36" i="1"/>
  <c r="E43" i="1"/>
  <c r="E55" i="1"/>
  <c r="F36" i="1"/>
  <c r="F43" i="1"/>
  <c r="F55" i="1"/>
  <c r="G36" i="1"/>
  <c r="G43" i="1"/>
  <c r="G55" i="1"/>
  <c r="H36" i="1"/>
  <c r="H43" i="1"/>
  <c r="I36" i="1"/>
  <c r="I43" i="1"/>
  <c r="J36" i="1"/>
  <c r="J43" i="1"/>
  <c r="K36" i="1"/>
  <c r="K43" i="1"/>
  <c r="L36" i="1"/>
  <c r="L43" i="1"/>
  <c r="L55" i="1"/>
  <c r="M36" i="1"/>
  <c r="M43" i="1"/>
  <c r="N36" i="1"/>
  <c r="N43" i="1"/>
  <c r="O36" i="1"/>
  <c r="O43" i="1"/>
  <c r="P36" i="1"/>
  <c r="P43" i="1"/>
  <c r="K37" i="1"/>
  <c r="P37" i="1"/>
  <c r="AW38" i="1"/>
  <c r="AW39" i="1"/>
  <c r="AX38" i="1"/>
  <c r="AX39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B46" i="1"/>
  <c r="C46" i="1"/>
  <c r="D46" i="1"/>
  <c r="E46" i="1"/>
  <c r="F46" i="1"/>
  <c r="G46" i="1"/>
  <c r="H46" i="1"/>
  <c r="I46" i="1"/>
  <c r="K46" i="1"/>
  <c r="L46" i="1"/>
  <c r="M46" i="1"/>
  <c r="O46" i="1"/>
  <c r="L47" i="1"/>
  <c r="N48" i="1"/>
  <c r="N50" i="1"/>
  <c r="N46" i="1"/>
  <c r="P50" i="1"/>
  <c r="P57" i="1"/>
  <c r="H51" i="1"/>
  <c r="I51" i="1"/>
  <c r="J51" i="1"/>
  <c r="K51" i="1"/>
  <c r="M51" i="1"/>
  <c r="O57" i="1"/>
  <c r="O58" i="1"/>
  <c r="O51" i="1"/>
  <c r="P58" i="1"/>
  <c r="P51" i="1"/>
  <c r="BD74" i="1"/>
  <c r="BD76" i="1"/>
  <c r="BR95" i="1"/>
  <c r="BS95" i="1"/>
  <c r="BR96" i="1"/>
  <c r="BS96" i="1"/>
  <c r="BR80" i="1"/>
  <c r="B43" i="1"/>
  <c r="B55" i="1"/>
  <c r="O38" i="1"/>
  <c r="N51" i="1"/>
  <c r="N47" i="1"/>
  <c r="K38" i="1"/>
  <c r="P46" i="1"/>
  <c r="I55" i="1"/>
  <c r="H55" i="1"/>
  <c r="AW35" i="1"/>
  <c r="AW41" i="1"/>
  <c r="AZ5" i="1"/>
  <c r="P38" i="1"/>
  <c r="H38" i="1"/>
  <c r="C38" i="1"/>
  <c r="F38" i="1"/>
  <c r="I38" i="1"/>
  <c r="K55" i="1"/>
  <c r="E38" i="1"/>
  <c r="N38" i="1"/>
  <c r="G38" i="1"/>
  <c r="D38" i="1"/>
  <c r="M38" i="1"/>
  <c r="N55" i="1"/>
  <c r="J55" i="1"/>
  <c r="B38" i="1"/>
  <c r="AX35" i="1"/>
  <c r="AX41" i="1"/>
  <c r="AZ15" i="1"/>
  <c r="BQ96" i="1"/>
  <c r="BQ95" i="1"/>
  <c r="O47" i="1"/>
  <c r="O55" i="1"/>
  <c r="P55" i="1"/>
  <c r="P47" i="1"/>
  <c r="M47" i="1"/>
  <c r="M55" i="1"/>
  <c r="J38" i="1"/>
  <c r="L38" i="1"/>
</calcChain>
</file>

<file path=xl/sharedStrings.xml><?xml version="1.0" encoding="utf-8"?>
<sst xmlns="http://schemas.openxmlformats.org/spreadsheetml/2006/main" count="330" uniqueCount="166">
  <si>
    <t>||</t>
  </si>
  <si>
    <t xml:space="preserve">               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</si>
  <si>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</si>
  <si>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</si>
  <si>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</si>
  <si>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</si>
  <si>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</si>
  <si>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</si>
  <si>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</si>
  <si>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</si>
  <si>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</si>
  <si>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</si>
  <si>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</si>
  <si>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</si>
  <si>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</si>
  <si>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</si>
  <si>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</si>
  <si>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OBRA S:U Target--&gt;</t>
  </si>
  <si>
    <t>=</t>
  </si>
  <si>
    <t>=======||</t>
  </si>
  <si>
    <t xml:space="preserve">     NONPARTCIPANT NET RETURNS</t>
  </si>
  <si>
    <t xml:space="preserve">  (ARP/PLD)</t>
  </si>
  <si>
    <t>(15% ARP)</t>
  </si>
  <si>
    <t>(20/5/30)</t>
  </si>
  <si>
    <t>(25% ARP)</t>
  </si>
  <si>
    <t>(20/10)</t>
  </si>
  <si>
    <t>Nonparticipant</t>
  </si>
  <si>
    <t>Participant</t>
  </si>
  <si>
    <t xml:space="preserve">  PART/ARP</t>
  </si>
  <si>
    <t xml:space="preserve">  PART/PLD</t>
  </si>
  <si>
    <t>ACREAGE</t>
  </si>
  <si>
    <t>ACREAGE (THOUSAND)</t>
  </si>
  <si>
    <t xml:space="preserve">  Planted acreage (acres)</t>
  </si>
  <si>
    <t xml:space="preserve">  REPORTED BASE</t>
  </si>
  <si>
    <t xml:space="preserve">  Conservation acreage (acres)</t>
  </si>
  <si>
    <t>-</t>
  </si>
  <si>
    <t xml:space="preserve">  TOTAL PLANTED + IDLED</t>
  </si>
  <si>
    <t xml:space="preserve">  ALLOTED/NPA</t>
  </si>
  <si>
    <t>YIELDS</t>
  </si>
  <si>
    <t xml:space="preserve">       PARTICIPANT NET RETURNS</t>
  </si>
  <si>
    <t xml:space="preserve">  CRP</t>
  </si>
  <si>
    <t xml:space="preserve">  50/92 50/85 w/unpaid acres</t>
  </si>
  <si>
    <t xml:space="preserve">  0/92 PREV.PLTD./RED.YLD.</t>
  </si>
  <si>
    <t xml:space="preserve">  ARP </t>
  </si>
  <si>
    <t xml:space="preserve">  Harvested yield (lbs./acre)</t>
  </si>
  <si>
    <t xml:space="preserve">  REDUCED-PLD</t>
  </si>
  <si>
    <t xml:space="preserve">  PERMITTED/COTTON BASE</t>
  </si>
  <si>
    <t xml:space="preserve">  PAYMENT ACRES</t>
  </si>
  <si>
    <t xml:space="preserve"> </t>
  </si>
  <si>
    <t xml:space="preserve">  ACRES ELIG FOR LOAN</t>
  </si>
  <si>
    <t xml:space="preserve">  PLTD PART</t>
  </si>
  <si>
    <t>ASSUMED PRICES</t>
  </si>
  <si>
    <t xml:space="preserve">  PLTD NONPART</t>
  </si>
  <si>
    <t xml:space="preserve">  Cotton lint ($/lb.)</t>
  </si>
  <si>
    <t xml:space="preserve">  UPL PLTD ON OTHR CROPS</t>
  </si>
  <si>
    <t xml:space="preserve">  OTHER PLTD ON UPL BASE</t>
  </si>
  <si>
    <t xml:space="preserve">  PLANTED</t>
  </si>
  <si>
    <t xml:space="preserve">  Cottonseed ($/lb. of lint) 1</t>
  </si>
  <si>
    <t xml:space="preserve">  HARVESTED</t>
  </si>
  <si>
    <t>========|</t>
  </si>
  <si>
    <t xml:space="preserve">  Deficiency payment rate ($/lb.) 2</t>
  </si>
  <si>
    <t xml:space="preserve"> YIELD(LB/HA)</t>
  </si>
  <si>
    <t>|</t>
  </si>
  <si>
    <t xml:space="preserve"> PROGRAM YIELD</t>
  </si>
  <si>
    <t>SUPPLY/USE T.480 bales</t>
  </si>
  <si>
    <t xml:space="preserve">  Variable costs ($/acre)</t>
  </si>
  <si>
    <t xml:space="preserve">  BEGINNING STOCKS 8/1</t>
  </si>
  <si>
    <t xml:space="preserve">  Cost to maintain idled acreage ($/acre)</t>
  </si>
  <si>
    <t xml:space="preserve">  PRODUCTION</t>
  </si>
  <si>
    <t xml:space="preserve">  IMPORTS</t>
  </si>
  <si>
    <t>INCOME</t>
  </si>
  <si>
    <t xml:space="preserve"> TOTAL SUPPLY</t>
  </si>
  <si>
    <t xml:space="preserve">  Production value ($)</t>
  </si>
  <si>
    <t xml:space="preserve">  Seed value ($)</t>
  </si>
  <si>
    <t xml:space="preserve">  MILL USE</t>
  </si>
  <si>
    <t xml:space="preserve">  Deficiency payment ($) 3</t>
  </si>
  <si>
    <t xml:space="preserve">  EXPORTS</t>
  </si>
  <si>
    <t xml:space="preserve">  Total income ($)</t>
  </si>
  <si>
    <t xml:space="preserve"> TOTAL USE</t>
  </si>
  <si>
    <t>COSTS</t>
  </si>
  <si>
    <t xml:space="preserve">  UNACCOUNTED </t>
  </si>
  <si>
    <t xml:space="preserve">  Production costs ($)</t>
  </si>
  <si>
    <t xml:space="preserve">  ENDING STOCKS 7/31</t>
  </si>
  <si>
    <t xml:space="preserve">  Total costs ($)</t>
  </si>
  <si>
    <t xml:space="preserve">   CCC INVENTORY</t>
  </si>
  <si>
    <t xml:space="preserve">   CCC LOANS OUT</t>
  </si>
  <si>
    <t>NET RETURN ($)</t>
  </si>
  <si>
    <t xml:space="preserve">   FREE STOCKS</t>
  </si>
  <si>
    <t xml:space="preserve">  STOCKS/USE</t>
  </si>
  <si>
    <t xml:space="preserve">  TARGET PRICE</t>
  </si>
  <si>
    <t xml:space="preserve">  CAL YR AVG PRICE</t>
  </si>
  <si>
    <t xml:space="preserve">  DEFIC PAY RATE-GROSS</t>
  </si>
  <si>
    <t xml:space="preserve">  LOAN DEF PAY RATE</t>
  </si>
  <si>
    <t xml:space="preserve">  DISAS PAY RATE</t>
  </si>
  <si>
    <t xml:space="preserve">  DIVER PAY RATE</t>
  </si>
  <si>
    <t xml:space="preserve">  LOAN RATE</t>
  </si>
  <si>
    <t xml:space="preserve">  AVG LOAN REPAY RATE</t>
  </si>
  <si>
    <t xml:space="preserve">  EFF LOAN REPAY RATE</t>
  </si>
  <si>
    <t xml:space="preserve">  SEASON AVG PRICE</t>
  </si>
  <si>
    <t>dappd</t>
  </si>
  <si>
    <t>\Y</t>
  </si>
  <si>
    <t>/ppcaaooubcdaps1~mt0~mb0~ml10~mr134~p80~s\027&amp;l8D\027(s0p16.66H~qrdappd1~gpaobcdaps2~qrdappd2~gpaq</t>
  </si>
  <si>
    <t xml:space="preserve">  MKT YR AVG PRICE</t>
  </si>
  <si>
    <t>(lazer)</t>
  </si>
  <si>
    <t xml:space="preserve">  CURVE CALC MKT YR</t>
  </si>
  <si>
    <t xml:space="preserve">  FORMULA AWP </t>
  </si>
  <si>
    <t xml:space="preserve">  115% LOAN RATE</t>
  </si>
  <si>
    <t xml:space="preserve">  ADJUSTED AWP (Step 1)</t>
  </si>
  <si>
    <t>Minnie Tom</t>
  </si>
  <si>
    <t>\Z</t>
  </si>
  <si>
    <t>/ppcaaooubc1l~brTOP~mt0~mb0~ml5~mr132~p88~s\027&amp;8D\027(s0p16.66H~qr1m~gpa</t>
  </si>
  <si>
    <t xml:space="preserve">  AVG COARSE COUNT</t>
  </si>
  <si>
    <t>obc3s~qr3d~gpaobc4s~qr4d~gpaobc5s~qr5d~gpaobc6s~qr6d~gpaq</t>
  </si>
  <si>
    <t>Upland Cotton</t>
  </si>
  <si>
    <t>August 1992 Numbers</t>
  </si>
  <si>
    <t>(THOUSAND $)</t>
  </si>
  <si>
    <t>Table 1</t>
  </si>
  <si>
    <t>1992/93</t>
  </si>
  <si>
    <t>Additional 10% Advance</t>
  </si>
  <si>
    <t>Table 2</t>
  </si>
  <si>
    <t>1993/94</t>
  </si>
  <si>
    <t>option 2</t>
  </si>
  <si>
    <t>option 1</t>
  </si>
  <si>
    <t>10% ARP</t>
  </si>
  <si>
    <t>option 3</t>
  </si>
  <si>
    <t xml:space="preserve">40% Advance  </t>
  </si>
  <si>
    <t xml:space="preserve">50% Advance  </t>
  </si>
  <si>
    <t>FRAD/MTHM/8-17-92</t>
  </si>
  <si>
    <t>ELS Cotton:</t>
  </si>
  <si>
    <t>U.S. Department of Agriculture</t>
  </si>
  <si>
    <t>Item</t>
  </si>
  <si>
    <t>Unit</t>
  </si>
  <si>
    <t>Upland Cotton:</t>
  </si>
  <si>
    <t xml:space="preserve">  Planted acres</t>
  </si>
  <si>
    <t>1000 acres</t>
  </si>
  <si>
    <t xml:space="preserve">  Harvested acres</t>
  </si>
  <si>
    <t>"</t>
  </si>
  <si>
    <t xml:space="preserve">  Yield/harvested acre</t>
  </si>
  <si>
    <t>lbs./acre</t>
  </si>
  <si>
    <t xml:space="preserve">  Beginning  stocks</t>
  </si>
  <si>
    <t>1000 bales</t>
  </si>
  <si>
    <t xml:space="preserve">  Production</t>
  </si>
  <si>
    <t xml:space="preserve">  Imports</t>
  </si>
  <si>
    <t xml:space="preserve">    Total supply</t>
  </si>
  <si>
    <t xml:space="preserve">  Domestic mill use</t>
  </si>
  <si>
    <t xml:space="preserve">  Exports</t>
  </si>
  <si>
    <t xml:space="preserve">    Total disappearance</t>
  </si>
  <si>
    <t xml:space="preserve">  Difference unacc.</t>
  </si>
  <si>
    <t xml:space="preserve">  Ending stocks</t>
  </si>
  <si>
    <t>All Cotton:</t>
  </si>
  <si>
    <t>%</t>
  </si>
  <si>
    <t>2017/18</t>
  </si>
  <si>
    <t>2018/19</t>
  </si>
  <si>
    <t>2019/20</t>
  </si>
  <si>
    <t>2020/21</t>
  </si>
  <si>
    <t>2021/22</t>
  </si>
  <si>
    <t>U.S. Upland, ELS, and All Cotton Estimates</t>
  </si>
  <si>
    <t>2022/23</t>
  </si>
  <si>
    <t>2023/24</t>
  </si>
  <si>
    <t>Abandonment</t>
  </si>
  <si>
    <t>Upland farm price</t>
  </si>
  <si>
    <t>cents/lb</t>
  </si>
  <si>
    <t>Stocks/use</t>
  </si>
  <si>
    <t>2024/25</t>
  </si>
  <si>
    <t>2025/26</t>
  </si>
  <si>
    <t>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</si>
</sst>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0"/>
    <numFmt numFmtId="167" formatCode="0.0%"/>
    <numFmt numFmtId="168" formatCode="hh:mm:ss\ AM/PM"/>
    <numFmt numFmtId="173" formatCode="m/d/yyyy;@"/>
    <numFmt numFmtId="174" formatCode="#,##0.0"/>
  </numFmts>
  <fonts count="11">
    <font>
      <sz val="14"/>
      <name val="SWISS"/>
    </font>
    <font>
      <b/>
      <sz val="15"/>
      <color indexed="8"/>
      <name val="SWISS"/>
    </font>
    <font>
      <sz val="14"/>
      <color indexed="8"/>
      <name val="SWISS"/>
    </font>
    <font>
      <b/>
      <sz val="14"/>
      <color indexed="8"/>
      <name val="SWISS"/>
    </font>
    <font>
      <sz val="13"/>
      <color indexed="8"/>
      <name val="SWISS"/>
    </font>
    <font>
      <u/>
      <sz val="14"/>
      <color indexed="8"/>
      <name val="SWISS"/>
    </font>
    <font>
      <sz val="14"/>
      <name val="SWISS"/>
    </font>
    <font>
      <b/>
      <sz val="14"/>
      <name val="SWISS"/>
    </font>
    <font>
      <b/>
      <u/>
      <sz val="12"/>
      <name val="SWISS"/>
    </font>
    <font>
      <b/>
      <sz val="12"/>
      <name val="SWISS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2">
    <xf numFmtId="1" fontId="0" fillId="2" borderId="0">
      <alignment horizontal="right"/>
    </xf>
    <xf numFmtId="0" fontId="10" fillId="0" borderId="0"/>
  </cellStyleXfs>
  <cellXfs count="48">
    <xf numFmtId="1" fontId="0" fillId="2" borderId="0" xfId="0">
      <alignment horizontal="right"/>
    </xf>
    <xf numFmtId="15" fontId="0" fillId="3" borderId="0" xfId="0" applyNumberFormat="1" applyFill="1">
      <alignment horizontal="right"/>
    </xf>
    <xf numFmtId="1" fontId="0" fillId="3" borderId="0" xfId="0" applyFill="1">
      <alignment horizontal="right"/>
    </xf>
    <xf numFmtId="1" fontId="1" fillId="3" borderId="0" xfId="0" applyFont="1" applyFill="1" applyAlignment="1"/>
    <xf numFmtId="1" fontId="2" fillId="3" borderId="0" xfId="0" applyFont="1" applyFill="1" applyAlignment="1"/>
    <xf numFmtId="168" fontId="0" fillId="3" borderId="0" xfId="0" applyNumberFormat="1" applyFill="1">
      <alignment horizontal="right"/>
    </xf>
    <xf numFmtId="1" fontId="3" fillId="3" borderId="0" xfId="0" applyFont="1" applyFill="1" applyAlignment="1"/>
    <xf numFmtId="1" fontId="2" fillId="3" borderId="1" xfId="0" applyFont="1" applyFill="1" applyBorder="1" applyAlignment="1"/>
    <xf numFmtId="1" fontId="0" fillId="3" borderId="2" xfId="0" applyFill="1" applyBorder="1">
      <alignment horizontal="right"/>
    </xf>
    <xf numFmtId="1" fontId="2" fillId="3" borderId="2" xfId="0" applyFont="1" applyFill="1" applyBorder="1" applyAlignment="1"/>
    <xf numFmtId="1" fontId="2" fillId="3" borderId="0" xfId="0" applyFont="1" applyFill="1" applyAlignment="1">
      <alignment horizontal="fill"/>
    </xf>
    <xf numFmtId="1" fontId="2" fillId="3" borderId="3" xfId="0" applyFont="1" applyFill="1" applyBorder="1" applyAlignment="1"/>
    <xf numFmtId="167" fontId="0" fillId="3" borderId="0" xfId="0" applyNumberFormat="1" applyFill="1">
      <alignment horizontal="right"/>
    </xf>
    <xf numFmtId="9" fontId="0" fillId="3" borderId="0" xfId="0" applyNumberFormat="1" applyFill="1">
      <alignment horizontal="right"/>
    </xf>
    <xf numFmtId="2" fontId="0" fillId="3" borderId="0" xfId="0" applyNumberFormat="1" applyFill="1">
      <alignment horizontal="right"/>
    </xf>
    <xf numFmtId="1" fontId="2" fillId="3" borderId="4" xfId="0" applyFont="1" applyFill="1" applyBorder="1" applyAlignment="1"/>
    <xf numFmtId="9" fontId="2" fillId="3" borderId="5" xfId="0" applyNumberFormat="1" applyFont="1" applyFill="1" applyBorder="1" applyAlignment="1"/>
    <xf numFmtId="37" fontId="0" fillId="3" borderId="0" xfId="0" applyNumberFormat="1" applyFill="1">
      <alignment horizontal="right"/>
    </xf>
    <xf numFmtId="37" fontId="0" fillId="3" borderId="0" xfId="0" applyNumberFormat="1" applyFill="1" applyProtection="1">
      <alignment horizontal="right"/>
      <protection locked="0"/>
    </xf>
    <xf numFmtId="1" fontId="4" fillId="3" borderId="0" xfId="0" applyFont="1" applyFill="1" applyAlignment="1"/>
    <xf numFmtId="1" fontId="3" fillId="3" borderId="6" xfId="0" applyFont="1" applyFill="1" applyBorder="1" applyAlignment="1"/>
    <xf numFmtId="1" fontId="2" fillId="3" borderId="6" xfId="0" applyFont="1" applyFill="1" applyBorder="1" applyAlignment="1"/>
    <xf numFmtId="1" fontId="2" fillId="3" borderId="5" xfId="0" applyFont="1" applyFill="1" applyBorder="1" applyAlignment="1"/>
    <xf numFmtId="167" fontId="2" fillId="3" borderId="5" xfId="0" applyNumberFormat="1" applyFont="1" applyFill="1" applyBorder="1" applyAlignment="1"/>
    <xf numFmtId="2" fontId="0" fillId="3" borderId="0" xfId="0" applyNumberFormat="1" applyFill="1" applyProtection="1">
      <alignment horizontal="right"/>
      <protection locked="0"/>
    </xf>
    <xf numFmtId="165" fontId="0" fillId="3" borderId="0" xfId="0" applyNumberFormat="1" applyFill="1">
      <alignment horizontal="right"/>
    </xf>
    <xf numFmtId="37" fontId="2" fillId="3" borderId="6" xfId="0" applyNumberFormat="1" applyFont="1" applyFill="1" applyBorder="1" applyAlignment="1"/>
    <xf numFmtId="2" fontId="2" fillId="3" borderId="0" xfId="0" applyNumberFormat="1" applyFont="1" applyFill="1" applyAlignment="1">
      <alignment horizontal="fill"/>
    </xf>
    <xf numFmtId="166" fontId="0" fillId="3" borderId="0" xfId="0" applyNumberFormat="1" applyFill="1">
      <alignment horizontal="right"/>
    </xf>
    <xf numFmtId="1" fontId="5" fillId="3" borderId="0" xfId="0" applyFont="1" applyFill="1" applyAlignment="1"/>
    <xf numFmtId="1" fontId="2" fillId="3" borderId="7" xfId="0" applyFont="1" applyFill="1" applyBorder="1" applyAlignment="1"/>
    <xf numFmtId="1" fontId="2" fillId="3" borderId="8" xfId="0" applyFont="1" applyFill="1" applyBorder="1" applyAlignment="1"/>
    <xf numFmtId="1" fontId="8" fillId="2" borderId="0" xfId="0" applyFont="1" applyAlignment="1">
      <alignment horizontal="left"/>
    </xf>
    <xf numFmtId="1" fontId="8" fillId="2" borderId="0" xfId="0" applyFont="1" applyAlignment="1">
      <alignment horizontal="center"/>
    </xf>
    <xf numFmtId="1" fontId="8" fillId="2" borderId="0" xfId="0" quotePrefix="1" applyFont="1">
      <alignment horizontal="right"/>
    </xf>
    <xf numFmtId="1" fontId="9" fillId="2" borderId="0" xfId="0" applyFont="1" applyAlignment="1">
      <alignment horizontal="left"/>
    </xf>
    <xf numFmtId="1" fontId="9" fillId="2" borderId="0" xfId="0" applyFont="1" applyAlignment="1">
      <alignment horizontal="center"/>
    </xf>
    <xf numFmtId="1" fontId="9" fillId="2" borderId="0" xfId="0" applyFont="1">
      <alignment horizontal="right"/>
    </xf>
    <xf numFmtId="1" fontId="9" fillId="2" borderId="0" xfId="0" quotePrefix="1" applyFont="1" applyAlignment="1">
      <alignment horizontal="left"/>
    </xf>
    <xf numFmtId="3" fontId="9" fillId="2" borderId="0" xfId="0" applyNumberFormat="1" applyFont="1">
      <alignment horizontal="right"/>
    </xf>
    <xf numFmtId="3" fontId="8" fillId="2" borderId="0" xfId="0" applyNumberFormat="1" applyFont="1">
      <alignment horizontal="right"/>
    </xf>
    <xf numFmtId="174" fontId="9" fillId="2" borderId="0" xfId="0" applyNumberFormat="1" applyFont="1">
      <alignment horizontal="right"/>
    </xf>
    <xf numFmtId="2" fontId="0" fillId="2" borderId="0" xfId="0" applyNumberFormat="1">
      <alignment horizontal="right"/>
    </xf>
    <xf numFmtId="164" fontId="9" fillId="2" borderId="0" xfId="0" applyNumberFormat="1" applyFont="1">
      <alignment horizontal="right"/>
    </xf>
    <xf numFmtId="3" fontId="9" fillId="0" borderId="0" xfId="0" applyNumberFormat="1" applyFont="1" applyFill="1">
      <alignment horizontal="right"/>
    </xf>
    <xf numFmtId="3" fontId="8" fillId="0" borderId="0" xfId="0" applyNumberFormat="1" applyFont="1" applyFill="1">
      <alignment horizontal="right"/>
    </xf>
    <xf numFmtId="1" fontId="7" fillId="2" borderId="0" xfId="0" applyFont="1" applyAlignment="1">
      <alignment horizontal="center"/>
    </xf>
    <xf numFmtId="173" fontId="7" fillId="2" borderId="0" xfId="0" applyNumberFormat="1" applyFont="1" applyAlignment="1">
      <alignment horizontal="center"/>
    </xf>
  </cellXfs>
  <cellStyles count="2">
    <cellStyle name="Normal" xfId="0" builtinId="0"/>
    <cellStyle name="Normal 19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46"/>
  <sheetViews>
    <sheetView showOutlineSymbols="0" zoomScale="87"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H1" sqref="H1"/>
    </sheetView>
  </sheetViews>
  <sheetFormatPr defaultColWidth="18.3828125" defaultRowHeight="17.399999999999999"/>
  <cols>
    <col min="1" max="1" width="26.69140625" customWidth="1"/>
    <col min="3" max="3" width="9.69140625" customWidth="1"/>
    <col min="4" max="4" width="10.69140625" customWidth="1"/>
    <col min="5" max="5" width="12.69140625" customWidth="1"/>
    <col min="7" max="12" width="10.69140625" customWidth="1"/>
    <col min="13" max="21" width="12.69140625" customWidth="1"/>
    <col min="23" max="26" width="12.69140625" customWidth="1"/>
    <col min="34" max="34" width="13.69140625" customWidth="1"/>
    <col min="48" max="48" width="41.69140625" customWidth="1"/>
    <col min="49" max="50" width="15.69140625" customWidth="1"/>
    <col min="68" max="68" width="20.69140625" customWidth="1"/>
  </cols>
  <sheetData>
    <row r="1" spans="1:80" ht="19.2">
      <c r="A1" s="1">
        <f ca="1">NOW()</f>
        <v>46154.346576041666</v>
      </c>
      <c r="B1" s="1"/>
      <c r="C1" s="2"/>
      <c r="D1" s="2"/>
      <c r="E1" s="2"/>
      <c r="F1" s="2"/>
      <c r="G1" s="2"/>
      <c r="H1" s="3" t="e">
        <f>#REF!</f>
        <v>#REF!</v>
      </c>
      <c r="I1" s="2"/>
      <c r="J1" s="2"/>
      <c r="K1" s="2"/>
      <c r="L1" s="2"/>
      <c r="M1" s="2"/>
      <c r="N1" s="2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4"/>
      <c r="AI1" s="2"/>
      <c r="AJ1" s="2"/>
      <c r="AK1" s="2"/>
      <c r="AL1" s="2"/>
      <c r="AM1" s="2"/>
      <c r="AN1" s="2"/>
      <c r="AO1" s="2"/>
      <c r="AP1" s="2"/>
      <c r="AQ1" s="2"/>
      <c r="AR1" s="2" t="s">
        <v>0</v>
      </c>
      <c r="AS1" s="2"/>
      <c r="AT1" s="2"/>
      <c r="AU1" s="2"/>
      <c r="AV1" s="2"/>
      <c r="AW1" s="4" t="s">
        <v>1</v>
      </c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0">
      <c r="A2" s="5">
        <f ca="1">NOW()</f>
        <v>46154.346576041666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80">
      <c r="A3" s="7"/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0">
      <c r="A4" s="7" t="s">
        <v>17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10"/>
      <c r="AI4" s="10"/>
      <c r="AJ4" s="10"/>
      <c r="AK4" s="10"/>
      <c r="AL4" s="10"/>
      <c r="AM4" s="10"/>
      <c r="AN4" s="10" t="s">
        <v>18</v>
      </c>
      <c r="AO4" s="10" t="s">
        <v>18</v>
      </c>
      <c r="AP4" s="10" t="s">
        <v>18</v>
      </c>
      <c r="AQ4" s="10" t="s">
        <v>18</v>
      </c>
      <c r="AR4" s="4" t="s">
        <v>19</v>
      </c>
      <c r="AS4" s="2"/>
      <c r="AT4" s="2"/>
      <c r="AU4" s="2"/>
      <c r="AV4" s="2"/>
      <c r="AW4" s="2"/>
      <c r="AX4" s="2"/>
      <c r="AY4" s="2"/>
      <c r="AZ4" s="2"/>
      <c r="BA4" s="4" t="s">
        <v>20</v>
      </c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</row>
    <row r="5" spans="1:80">
      <c r="A5" s="11" t="s">
        <v>21</v>
      </c>
      <c r="B5" s="2"/>
      <c r="C5" s="2"/>
      <c r="D5" s="2"/>
      <c r="E5" s="2"/>
      <c r="F5" s="2"/>
      <c r="G5" s="2"/>
      <c r="H5" s="2" t="s">
        <v>22</v>
      </c>
      <c r="I5" s="2" t="s">
        <v>23</v>
      </c>
      <c r="J5" s="2" t="s">
        <v>24</v>
      </c>
      <c r="K5" s="2" t="s">
        <v>25</v>
      </c>
      <c r="L5" s="12">
        <v>0.25</v>
      </c>
      <c r="M5" s="12">
        <v>0.25</v>
      </c>
      <c r="N5" s="12">
        <v>0.125</v>
      </c>
      <c r="O5" s="12">
        <v>0.25</v>
      </c>
      <c r="P5" s="12">
        <v>0.125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4"/>
      <c r="AI5" s="4"/>
      <c r="AJ5" s="4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 t="s">
        <v>26</v>
      </c>
      <c r="AX5" s="2" t="s">
        <v>27</v>
      </c>
      <c r="AY5" s="2"/>
      <c r="AZ5" s="2" t="e">
        <f>AW41</f>
        <v>#REF!</v>
      </c>
      <c r="BA5" s="2">
        <v>200</v>
      </c>
      <c r="BB5" s="2">
        <v>300</v>
      </c>
      <c r="BC5" s="2">
        <v>400</v>
      </c>
      <c r="BD5" s="2">
        <v>500</v>
      </c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</row>
    <row r="6" spans="1:80">
      <c r="A6" s="11" t="s">
        <v>28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0.78</v>
      </c>
      <c r="I6" s="13">
        <v>0.93</v>
      </c>
      <c r="J6" s="13">
        <v>0.7</v>
      </c>
      <c r="K6" s="13">
        <v>0.82</v>
      </c>
      <c r="L6" s="13">
        <v>0.92</v>
      </c>
      <c r="M6" s="13">
        <v>0.92</v>
      </c>
      <c r="N6" s="13">
        <v>0.89</v>
      </c>
      <c r="O6" s="13">
        <v>0.89</v>
      </c>
      <c r="P6" s="13">
        <v>0.86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14">
        <v>0.5</v>
      </c>
      <c r="BA6" s="2">
        <v>-100</v>
      </c>
      <c r="BB6" s="2">
        <v>6100</v>
      </c>
      <c r="BC6" s="2">
        <v>12300</v>
      </c>
      <c r="BD6" s="2">
        <v>18500</v>
      </c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</row>
    <row r="7" spans="1:80">
      <c r="A7" s="15" t="s">
        <v>29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0.76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4"/>
      <c r="AI7" s="4"/>
      <c r="AJ7" s="4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4" t="s">
        <v>30</v>
      </c>
      <c r="AW7" s="2"/>
      <c r="AX7" s="2"/>
      <c r="AY7" s="2"/>
      <c r="AZ7" s="14">
        <v>0.55000000000000004</v>
      </c>
      <c r="BA7" s="2">
        <v>900</v>
      </c>
      <c r="BB7" s="2">
        <v>7600</v>
      </c>
      <c r="BC7" s="2">
        <v>14300</v>
      </c>
      <c r="BD7" s="2">
        <v>21000</v>
      </c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</row>
    <row r="8" spans="1:80">
      <c r="A8" s="6" t="s">
        <v>31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4" t="s">
        <v>32</v>
      </c>
      <c r="AW8" s="2">
        <v>100</v>
      </c>
      <c r="AX8" s="2">
        <v>75</v>
      </c>
      <c r="AY8" s="2"/>
      <c r="AZ8" s="14">
        <v>0.65</v>
      </c>
      <c r="BA8" s="2">
        <v>2900</v>
      </c>
      <c r="BB8" s="2">
        <v>10600</v>
      </c>
      <c r="BC8" s="2">
        <v>18300</v>
      </c>
      <c r="BD8" s="2">
        <v>26000</v>
      </c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</row>
    <row r="9" spans="1:80">
      <c r="A9" s="4" t="s">
        <v>33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15309</v>
      </c>
      <c r="I9" s="17">
        <v>15429</v>
      </c>
      <c r="J9" s="17">
        <v>15633</v>
      </c>
      <c r="K9" s="17">
        <v>15823</v>
      </c>
      <c r="L9" s="17">
        <v>15564</v>
      </c>
      <c r="M9" s="17">
        <v>14672</v>
      </c>
      <c r="N9" s="17">
        <v>14483</v>
      </c>
      <c r="O9" s="17">
        <v>14564</v>
      </c>
      <c r="P9" s="17">
        <v>14378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4"/>
      <c r="AI9" s="4"/>
      <c r="AJ9" s="4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4" t="s">
        <v>34</v>
      </c>
      <c r="AW9" s="2">
        <v>0</v>
      </c>
      <c r="AX9" s="2">
        <v>25</v>
      </c>
      <c r="AY9" s="2"/>
      <c r="AZ9" s="10" t="s">
        <v>35</v>
      </c>
      <c r="BA9" s="10" t="s">
        <v>35</v>
      </c>
      <c r="BB9" s="10" t="s">
        <v>35</v>
      </c>
      <c r="BC9" s="10" t="s">
        <v>35</v>
      </c>
      <c r="BD9" s="10" t="s">
        <v>35</v>
      </c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</row>
    <row r="10" spans="1:80">
      <c r="A10" s="4" t="s">
        <v>36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12854</v>
      </c>
      <c r="I10" s="17">
        <v>14476</v>
      </c>
      <c r="J10" s="18">
        <v>13540</v>
      </c>
      <c r="K10" s="18">
        <v>14211</v>
      </c>
      <c r="L10" s="17">
        <f>L13+L15+L16+L24</f>
        <v>13975</v>
      </c>
      <c r="M10" s="17">
        <f>M13+M15+M16+M24</f>
        <v>14120</v>
      </c>
      <c r="N10" s="17">
        <f>N13+N15+N16+N24</f>
        <v>14486</v>
      </c>
      <c r="O10" s="17">
        <f>O13+O15+O16+O24</f>
        <v>13723</v>
      </c>
      <c r="P10" s="17">
        <f>P13+P15+P16+P24</f>
        <v>14073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4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</row>
    <row r="11" spans="1:80">
      <c r="A11" s="4" t="s">
        <v>37</v>
      </c>
      <c r="B11" s="17">
        <v>11000</v>
      </c>
      <c r="C11" s="17">
        <v>11000</v>
      </c>
      <c r="D11" s="17">
        <v>10000</v>
      </c>
      <c r="E11" s="17">
        <v>13476</v>
      </c>
      <c r="F11" s="17">
        <v>11894</v>
      </c>
      <c r="G11" s="17">
        <v>12838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4" t="s">
        <v>38</v>
      </c>
      <c r="AW11" s="2"/>
      <c r="AX11" s="2"/>
      <c r="AY11" s="2"/>
      <c r="AZ11" s="2"/>
      <c r="BA11" s="4" t="s">
        <v>39</v>
      </c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</row>
    <row r="12" spans="1:80">
      <c r="A12" s="4" t="s">
        <v>40</v>
      </c>
      <c r="B12" s="17"/>
      <c r="C12" s="17"/>
      <c r="D12" s="17"/>
      <c r="E12" s="17"/>
      <c r="F12" s="17"/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50</v>
      </c>
      <c r="M12" s="17">
        <v>683</v>
      </c>
      <c r="N12" s="17">
        <v>1020</v>
      </c>
      <c r="O12" s="17">
        <v>1207</v>
      </c>
      <c r="P12" s="17">
        <v>1299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 t="s">
        <v>0</v>
      </c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 t="s">
        <v>0</v>
      </c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80">
      <c r="A13" s="4" t="s">
        <v>41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>
        <v>781</v>
      </c>
      <c r="M13" s="17">
        <v>703</v>
      </c>
      <c r="N13" s="17">
        <v>626</v>
      </c>
      <c r="O13" s="17">
        <v>405</v>
      </c>
      <c r="P13" s="17">
        <v>484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 t="s">
        <v>0</v>
      </c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 t="s">
        <v>0</v>
      </c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>
      <c r="A14" s="4" t="s">
        <v>42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 t="s">
        <v>0</v>
      </c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 t="s">
        <v>0</v>
      </c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>
      <c r="A15" s="4" t="s">
        <v>43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1580</v>
      </c>
      <c r="I15" s="17">
        <v>2500</v>
      </c>
      <c r="J15" s="17">
        <v>2475</v>
      </c>
      <c r="K15" s="17">
        <v>2315</v>
      </c>
      <c r="L15" s="17">
        <v>3261</v>
      </c>
      <c r="M15" s="17">
        <v>3158</v>
      </c>
      <c r="N15" s="17">
        <v>1535</v>
      </c>
      <c r="O15" s="17">
        <v>3108</v>
      </c>
      <c r="P15" s="17">
        <v>1472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 t="s">
        <v>0</v>
      </c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 t="s">
        <v>0</v>
      </c>
      <c r="AS15" s="2"/>
      <c r="AT15" s="2"/>
      <c r="AU15" s="2"/>
      <c r="AV15" s="4" t="s">
        <v>44</v>
      </c>
      <c r="AW15" s="2">
        <v>200</v>
      </c>
      <c r="AX15" s="2">
        <v>200</v>
      </c>
      <c r="AY15" s="2"/>
      <c r="AZ15" s="2" t="e">
        <f>AX41</f>
        <v>#REF!</v>
      </c>
      <c r="BA15" s="2">
        <v>200</v>
      </c>
      <c r="BB15" s="2">
        <v>300</v>
      </c>
      <c r="BC15" s="2">
        <v>400</v>
      </c>
      <c r="BD15" s="2">
        <v>500</v>
      </c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>
      <c r="A16" s="4" t="s">
        <v>45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4113</v>
      </c>
      <c r="J16" s="17">
        <f>ROUND(IF(J112&gt;0,#REF!*(J112/(J111+J112)),0),-2)</f>
        <v>0</v>
      </c>
      <c r="K16" s="17">
        <v>1295</v>
      </c>
      <c r="L16" s="17">
        <f>ROUND(IF(L112&gt;0,#REF!*(IF(L113&gt;0,L113,(L112-L114))/(L111+L112)),0),-2)</f>
        <v>0</v>
      </c>
      <c r="M16" s="17">
        <f>ROUND(IF(M112&gt;0,M9*M7*M112*0.95,0),-2)</f>
        <v>0</v>
      </c>
      <c r="N16" s="17">
        <f>ROUND(IF(N112&gt;0,(N9-N12)*N7*N112,0),-2)</f>
        <v>0</v>
      </c>
      <c r="O16" s="17">
        <f>ROUND(O7*O9*O112,-1)</f>
        <v>0</v>
      </c>
      <c r="P16" s="17">
        <f>ROUND(P7*P9*P112,-1)</f>
        <v>0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 t="s">
        <v>0</v>
      </c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 t="s">
        <v>0</v>
      </c>
      <c r="AS16" s="2"/>
      <c r="AT16" s="2"/>
      <c r="AU16" s="2"/>
      <c r="AV16" s="2"/>
      <c r="AW16" s="2"/>
      <c r="AX16" s="2"/>
      <c r="AY16" s="2"/>
      <c r="AZ16" s="14">
        <v>0.5</v>
      </c>
      <c r="BA16" s="2">
        <v>5000</v>
      </c>
      <c r="BB16" s="2">
        <v>9650</v>
      </c>
      <c r="BC16" s="2">
        <v>14300</v>
      </c>
      <c r="BD16" s="2">
        <v>18950</v>
      </c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>
      <c r="A17" s="19" t="s">
        <v>46</v>
      </c>
      <c r="B17" s="17"/>
      <c r="C17" s="17"/>
      <c r="D17" s="17"/>
      <c r="E17" s="17"/>
      <c r="F17" s="17"/>
      <c r="G17" s="17"/>
      <c r="H17" s="17"/>
      <c r="I17" s="17"/>
      <c r="J17" s="17">
        <f>ROUND((J6*J9*(1-(J111+J112))),-2)</f>
        <v>10900</v>
      </c>
      <c r="K17" s="17">
        <f>ROUND((K6*K9*(1-(K111+K112))),-2)</f>
        <v>13000</v>
      </c>
      <c r="L17" s="17">
        <v>10855</v>
      </c>
      <c r="M17" s="17">
        <v>10107</v>
      </c>
      <c r="N17" s="17">
        <f>ROUND(N6*N9*(1-(N111+N112)),-2)</f>
        <v>12900</v>
      </c>
      <c r="O17" s="17">
        <v>9673</v>
      </c>
      <c r="P17" s="17">
        <v>10928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 t="s">
        <v>0</v>
      </c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 t="s">
        <v>0</v>
      </c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5">
        <f ca="1">NOW()</f>
        <v>46154.346576041666</v>
      </c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>
      <c r="A18" s="4" t="s">
        <v>47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 t="s">
        <v>48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 t="s">
        <v>0</v>
      </c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 t="s">
        <v>0</v>
      </c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>
      <c r="A19" s="4" t="s">
        <v>49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>
      <c r="A20" s="4" t="s">
        <v>50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8955</v>
      </c>
      <c r="I20" s="18">
        <v>6987</v>
      </c>
      <c r="J20" s="17">
        <v>7420</v>
      </c>
      <c r="K20" s="17">
        <v>8111</v>
      </c>
      <c r="L20" s="17">
        <v>9680</v>
      </c>
      <c r="M20" s="17">
        <v>9258</v>
      </c>
      <c r="N20" s="17">
        <v>10438</v>
      </c>
      <c r="O20" s="17">
        <v>9041</v>
      </c>
      <c r="P20" s="17">
        <v>10108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 t="s">
        <v>0</v>
      </c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 t="s">
        <v>0</v>
      </c>
      <c r="AS20" s="2"/>
      <c r="AT20" s="2"/>
      <c r="AU20" s="2"/>
      <c r="AV20" s="4" t="s">
        <v>51</v>
      </c>
      <c r="AW20" s="2"/>
      <c r="AX20" s="2"/>
      <c r="AY20" s="2"/>
      <c r="AZ20" s="14">
        <v>0.55000000000000004</v>
      </c>
      <c r="BA20" s="2">
        <v>4850</v>
      </c>
      <c r="BB20" s="2">
        <v>9875</v>
      </c>
      <c r="BC20" s="2">
        <v>14900</v>
      </c>
      <c r="BD20" s="2">
        <v>19925</v>
      </c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>
      <c r="A21" s="4" t="s">
        <v>52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2319</v>
      </c>
      <c r="I21" s="17">
        <v>876</v>
      </c>
      <c r="J21" s="17">
        <v>3645</v>
      </c>
      <c r="K21" s="17">
        <v>2490</v>
      </c>
      <c r="L21" s="17">
        <f>L24-L20</f>
        <v>253</v>
      </c>
      <c r="M21" s="17">
        <f>M24-M20</f>
        <v>1001</v>
      </c>
      <c r="N21" s="17">
        <f>N24-N20</f>
        <v>1887</v>
      </c>
      <c r="O21" s="17">
        <f>O24-O20</f>
        <v>1169</v>
      </c>
      <c r="P21" s="17">
        <f>P24-P20</f>
        <v>2009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 t="s">
        <v>0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 t="s">
        <v>0</v>
      </c>
      <c r="AS21" s="2"/>
      <c r="AT21" s="2"/>
      <c r="AU21" s="2"/>
      <c r="AV21" s="4" t="s">
        <v>53</v>
      </c>
      <c r="AW21" s="14">
        <v>0.5</v>
      </c>
      <c r="AX21" s="14">
        <v>0.5</v>
      </c>
      <c r="AY21" s="2"/>
      <c r="AZ21" s="14">
        <v>0.6</v>
      </c>
      <c r="BA21" s="2">
        <v>4700</v>
      </c>
      <c r="BB21" s="2">
        <v>10100</v>
      </c>
      <c r="BC21" s="2">
        <v>15500</v>
      </c>
      <c r="BD21" s="2">
        <v>20900</v>
      </c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>
      <c r="A22" s="19" t="s">
        <v>54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 t="s">
        <v>0</v>
      </c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 t="s">
        <v>0</v>
      </c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>
      <c r="A23" s="19" t="s">
        <v>55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>
      <c r="A24" s="4" t="s">
        <v>56</v>
      </c>
      <c r="B24" s="17">
        <v>11590</v>
      </c>
      <c r="C24" s="17">
        <v>13604</v>
      </c>
      <c r="D24" s="17">
        <v>13298</v>
      </c>
      <c r="E24" s="17">
        <v>13887</v>
      </c>
      <c r="F24" s="17">
        <v>14461</v>
      </c>
      <c r="G24" s="17">
        <v>14272</v>
      </c>
      <c r="H24" s="17">
        <f>IF(H111&gt;0,SUM(H20:H21),0)</f>
        <v>0</v>
      </c>
      <c r="I24" s="17">
        <v>7863</v>
      </c>
      <c r="J24" s="18">
        <v>11065</v>
      </c>
      <c r="K24" s="17">
        <v>10601</v>
      </c>
      <c r="L24" s="17">
        <v>9933</v>
      </c>
      <c r="M24" s="17">
        <v>10259</v>
      </c>
      <c r="N24" s="17">
        <v>12325</v>
      </c>
      <c r="O24" s="17">
        <v>10210</v>
      </c>
      <c r="P24" s="17">
        <v>12117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 t="s">
        <v>0</v>
      </c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 t="s">
        <v>0</v>
      </c>
      <c r="AS24" s="2"/>
      <c r="AT24" s="2"/>
      <c r="AU24" s="2"/>
      <c r="AV24" s="4" t="s">
        <v>57</v>
      </c>
      <c r="AW24" s="14">
        <v>0.12</v>
      </c>
      <c r="AX24" s="14">
        <v>0.12</v>
      </c>
      <c r="AY24" s="2"/>
      <c r="AZ24" s="14">
        <v>0.65</v>
      </c>
      <c r="BA24" s="2">
        <v>4550</v>
      </c>
      <c r="BB24" s="2">
        <v>10325</v>
      </c>
      <c r="BC24" s="2">
        <v>16100</v>
      </c>
      <c r="BD24" s="2">
        <v>21875</v>
      </c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>
      <c r="A25" s="4" t="s">
        <v>58</v>
      </c>
      <c r="B25" s="17">
        <v>10869</v>
      </c>
      <c r="C25" s="17">
        <v>13201</v>
      </c>
      <c r="D25" s="17">
        <v>12324</v>
      </c>
      <c r="E25" s="17">
        <v>12742</v>
      </c>
      <c r="F25" s="17">
        <v>13143</v>
      </c>
      <c r="G25" s="17">
        <v>13783</v>
      </c>
      <c r="H25" s="17">
        <v>9663</v>
      </c>
      <c r="I25" s="18">
        <v>7285</v>
      </c>
      <c r="J25" s="18">
        <v>10300</v>
      </c>
      <c r="K25" s="17">
        <v>10145</v>
      </c>
      <c r="L25" s="17">
        <v>8357</v>
      </c>
      <c r="M25" s="17">
        <v>9894</v>
      </c>
      <c r="N25" s="17">
        <v>11759</v>
      </c>
      <c r="O25" s="17">
        <v>9166</v>
      </c>
      <c r="P25" s="17">
        <v>11505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 t="s">
        <v>0</v>
      </c>
      <c r="AH25" s="10" t="s">
        <v>18</v>
      </c>
      <c r="AI25" s="10" t="s">
        <v>18</v>
      </c>
      <c r="AJ25" s="10" t="s">
        <v>18</v>
      </c>
      <c r="AK25" s="10" t="s">
        <v>18</v>
      </c>
      <c r="AL25" s="10" t="s">
        <v>18</v>
      </c>
      <c r="AM25" s="10" t="s">
        <v>18</v>
      </c>
      <c r="AN25" s="10" t="s">
        <v>18</v>
      </c>
      <c r="AO25" s="10" t="s">
        <v>18</v>
      </c>
      <c r="AP25" s="10" t="s">
        <v>18</v>
      </c>
      <c r="AQ25" s="10" t="s">
        <v>18</v>
      </c>
      <c r="AR25" s="10" t="s">
        <v>18</v>
      </c>
      <c r="AS25" s="10" t="s">
        <v>18</v>
      </c>
      <c r="AT25" s="10" t="s">
        <v>18</v>
      </c>
      <c r="AU25" s="4" t="s">
        <v>59</v>
      </c>
      <c r="AV25" s="4" t="s">
        <v>60</v>
      </c>
      <c r="AW25" s="14">
        <v>0</v>
      </c>
      <c r="AX25" s="14">
        <f>HLOOKUP(AX21,AV72:AY73,2)</f>
        <v>0.19</v>
      </c>
      <c r="AY25" s="2"/>
      <c r="AZ25" s="10" t="s">
        <v>35</v>
      </c>
      <c r="BA25" s="10" t="s">
        <v>35</v>
      </c>
      <c r="BB25" s="10" t="s">
        <v>35</v>
      </c>
      <c r="BC25" s="10" t="s">
        <v>35</v>
      </c>
      <c r="BD25" s="10" t="s">
        <v>35</v>
      </c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>
      <c r="A26" s="4" t="s">
        <v>61</v>
      </c>
      <c r="B26" s="17">
        <v>464</v>
      </c>
      <c r="C26" s="17">
        <v>519</v>
      </c>
      <c r="D26" s="17">
        <v>419</v>
      </c>
      <c r="E26" s="17">
        <v>547</v>
      </c>
      <c r="F26" s="17">
        <v>402</v>
      </c>
      <c r="G26" s="17">
        <v>542</v>
      </c>
      <c r="H26" s="17">
        <v>589</v>
      </c>
      <c r="I26" s="18">
        <v>506</v>
      </c>
      <c r="J26" s="18">
        <v>599</v>
      </c>
      <c r="K26" s="18">
        <v>628</v>
      </c>
      <c r="L26" s="17">
        <v>547</v>
      </c>
      <c r="M26" s="17">
        <v>702</v>
      </c>
      <c r="N26" s="17">
        <v>615</v>
      </c>
      <c r="O26" s="17">
        <v>602</v>
      </c>
      <c r="P26" s="17">
        <v>632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 t="s">
        <v>0</v>
      </c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 t="s">
        <v>62</v>
      </c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>
      <c r="A27" s="4" t="s">
        <v>63</v>
      </c>
      <c r="B27" s="17">
        <f t="shared" ref="B27:J27" si="0">B121</f>
        <v>0</v>
      </c>
      <c r="C27" s="17">
        <f t="shared" si="0"/>
        <v>0</v>
      </c>
      <c r="D27" s="17">
        <f t="shared" si="0"/>
        <v>0</v>
      </c>
      <c r="E27" s="17">
        <f t="shared" si="0"/>
        <v>0</v>
      </c>
      <c r="F27" s="17">
        <f t="shared" si="0"/>
        <v>0</v>
      </c>
      <c r="G27" s="17">
        <f t="shared" si="0"/>
        <v>0</v>
      </c>
      <c r="H27" s="17">
        <f t="shared" si="0"/>
        <v>0</v>
      </c>
      <c r="I27" s="17">
        <f t="shared" si="0"/>
        <v>0</v>
      </c>
      <c r="J27" s="17">
        <f t="shared" si="0"/>
        <v>0</v>
      </c>
      <c r="K27" s="17">
        <v>613</v>
      </c>
      <c r="L27" s="17">
        <v>608</v>
      </c>
      <c r="M27" s="17">
        <v>593</v>
      </c>
      <c r="N27" s="17">
        <v>590</v>
      </c>
      <c r="O27" s="17">
        <v>590</v>
      </c>
      <c r="P27" s="17">
        <v>590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 t="s">
        <v>0</v>
      </c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 t="s">
        <v>62</v>
      </c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>
      <c r="A28" s="20" t="s">
        <v>64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 t="s">
        <v>0</v>
      </c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 t="s">
        <v>62</v>
      </c>
      <c r="AV28" s="4" t="s">
        <v>65</v>
      </c>
      <c r="AW28" s="14">
        <v>125</v>
      </c>
      <c r="AX28" s="14">
        <v>125</v>
      </c>
      <c r="AY28" s="2"/>
      <c r="AZ28" s="10" t="s">
        <v>35</v>
      </c>
      <c r="BA28" s="10" t="s">
        <v>35</v>
      </c>
      <c r="BB28" s="10" t="s">
        <v>35</v>
      </c>
      <c r="BC28" s="10" t="s">
        <v>35</v>
      </c>
      <c r="BD28" s="10" t="s">
        <v>35</v>
      </c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>
      <c r="A29" s="4" t="s">
        <v>66</v>
      </c>
      <c r="B29" s="17">
        <v>3615</v>
      </c>
      <c r="C29" s="17">
        <f t="shared" ref="C29:P29" si="1">B39</f>
        <v>2879</v>
      </c>
      <c r="D29" s="17">
        <f t="shared" si="1"/>
        <v>5278</v>
      </c>
      <c r="E29" s="17">
        <f t="shared" si="1"/>
        <v>3905</v>
      </c>
      <c r="F29" s="17">
        <f t="shared" si="1"/>
        <v>2962</v>
      </c>
      <c r="G29" s="17">
        <f t="shared" si="1"/>
        <v>2614</v>
      </c>
      <c r="H29" s="17">
        <f t="shared" si="1"/>
        <v>6567</v>
      </c>
      <c r="I29" s="17">
        <f t="shared" si="1"/>
        <v>7844</v>
      </c>
      <c r="J29" s="17">
        <f t="shared" si="1"/>
        <v>2693</v>
      </c>
      <c r="K29" s="17">
        <f t="shared" si="1"/>
        <v>4024</v>
      </c>
      <c r="L29" s="17">
        <f t="shared" si="1"/>
        <v>9289</v>
      </c>
      <c r="M29" s="17">
        <f t="shared" si="1"/>
        <v>4942</v>
      </c>
      <c r="N29" s="17">
        <f t="shared" si="1"/>
        <v>5718</v>
      </c>
      <c r="O29" s="17">
        <f t="shared" si="1"/>
        <v>7026</v>
      </c>
      <c r="P29" s="17">
        <f t="shared" si="1"/>
        <v>2798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 t="s">
        <v>0</v>
      </c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 t="s">
        <v>62</v>
      </c>
      <c r="AV29" s="4" t="s">
        <v>67</v>
      </c>
      <c r="AW29" s="14">
        <v>0</v>
      </c>
      <c r="AX29" s="14">
        <v>25</v>
      </c>
      <c r="AY29" s="2"/>
      <c r="AZ29" s="2"/>
      <c r="BA29" s="2">
        <v>200</v>
      </c>
      <c r="BB29" s="2">
        <v>300</v>
      </c>
      <c r="BC29" s="2">
        <v>400</v>
      </c>
      <c r="BD29" s="2">
        <v>500</v>
      </c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>
      <c r="A30" s="4" t="s">
        <v>68</v>
      </c>
      <c r="B30" s="17">
        <v>10517</v>
      </c>
      <c r="C30" s="17">
        <v>14277</v>
      </c>
      <c r="D30" s="17">
        <v>10762</v>
      </c>
      <c r="E30" s="17">
        <v>14531</v>
      </c>
      <c r="F30" s="17">
        <v>11018</v>
      </c>
      <c r="G30" s="17">
        <v>15566</v>
      </c>
      <c r="H30" s="17">
        <v>11864</v>
      </c>
      <c r="I30" s="17">
        <v>7677</v>
      </c>
      <c r="J30" s="17">
        <v>12852</v>
      </c>
      <c r="K30" s="17">
        <v>13277</v>
      </c>
      <c r="L30" s="17">
        <v>9525</v>
      </c>
      <c r="M30" s="17">
        <v>14475</v>
      </c>
      <c r="N30" s="17">
        <v>15077</v>
      </c>
      <c r="O30" s="17">
        <v>11504</v>
      </c>
      <c r="P30" s="17">
        <v>15147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 t="s">
        <v>0</v>
      </c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 t="s">
        <v>62</v>
      </c>
      <c r="AV30" s="2"/>
      <c r="AW30" s="2"/>
      <c r="AX30" s="2"/>
      <c r="AY30" s="2"/>
      <c r="AZ30" s="14">
        <v>0.5</v>
      </c>
      <c r="BA30" s="14">
        <f>BA16/BA6</f>
        <v>-50</v>
      </c>
      <c r="BB30" s="14">
        <f>BB16/BB6</f>
        <v>1.5819672131147542</v>
      </c>
      <c r="BC30" s="14">
        <f>BC16/BC6</f>
        <v>1.1626016260162602</v>
      </c>
      <c r="BD30" s="14">
        <f>BD16/BD6</f>
        <v>1.0243243243243243</v>
      </c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17">
        <f>ROUND((((((CB17*0.93)+(((1-CB6)*CB9)*0.85)+CB22))*0.94))*CB26/480,-2)</f>
        <v>0</v>
      </c>
    </row>
    <row r="31" spans="1:80">
      <c r="A31" s="4" t="s">
        <v>69</v>
      </c>
      <c r="B31" s="17">
        <v>19</v>
      </c>
      <c r="C31" s="17">
        <v>1</v>
      </c>
      <c r="D31" s="17">
        <v>2</v>
      </c>
      <c r="E31" s="17">
        <v>4</v>
      </c>
      <c r="F31" s="17">
        <v>27</v>
      </c>
      <c r="G31" s="17">
        <v>18</v>
      </c>
      <c r="H31" s="17">
        <v>12</v>
      </c>
      <c r="I31" s="18">
        <v>8</v>
      </c>
      <c r="J31" s="18">
        <v>21</v>
      </c>
      <c r="K31" s="18">
        <v>33</v>
      </c>
      <c r="L31" s="18">
        <v>3</v>
      </c>
      <c r="M31" s="18">
        <v>2</v>
      </c>
      <c r="N31" s="18">
        <v>5</v>
      </c>
      <c r="O31" s="18">
        <v>2</v>
      </c>
      <c r="P31" s="18">
        <v>4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 t="s">
        <v>0</v>
      </c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 t="s">
        <v>62</v>
      </c>
      <c r="AV31" s="4" t="s">
        <v>70</v>
      </c>
      <c r="AW31" s="2"/>
      <c r="AX31" s="2"/>
      <c r="AY31" s="2"/>
      <c r="AZ31" s="14">
        <v>0.55000000000000004</v>
      </c>
      <c r="BA31" s="14">
        <f>BA20/BA7</f>
        <v>5.3888888888888893</v>
      </c>
      <c r="BB31" s="14">
        <f>BB20/BB7</f>
        <v>1.299342105263158</v>
      </c>
      <c r="BC31" s="14">
        <f>BC20/BC7</f>
        <v>1.0419580419580419</v>
      </c>
      <c r="BD31" s="14">
        <f>BD20/BD7</f>
        <v>0.94880952380952377</v>
      </c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>
      <c r="A32" s="4" t="s">
        <v>71</v>
      </c>
      <c r="B32" s="17">
        <f t="shared" ref="B32:P32" si="2">SUM(B29:B31)</f>
        <v>14151</v>
      </c>
      <c r="C32" s="17">
        <f t="shared" si="2"/>
        <v>17157</v>
      </c>
      <c r="D32" s="17">
        <f t="shared" si="2"/>
        <v>16042</v>
      </c>
      <c r="E32" s="17">
        <f t="shared" si="2"/>
        <v>18440</v>
      </c>
      <c r="F32" s="17">
        <f t="shared" si="2"/>
        <v>14007</v>
      </c>
      <c r="G32" s="17">
        <f t="shared" si="2"/>
        <v>18198</v>
      </c>
      <c r="H32" s="17">
        <f t="shared" si="2"/>
        <v>18443</v>
      </c>
      <c r="I32" s="17">
        <f t="shared" si="2"/>
        <v>15529</v>
      </c>
      <c r="J32" s="17">
        <f t="shared" si="2"/>
        <v>15566</v>
      </c>
      <c r="K32" s="17">
        <f t="shared" si="2"/>
        <v>17334</v>
      </c>
      <c r="L32" s="17">
        <f t="shared" si="2"/>
        <v>18817</v>
      </c>
      <c r="M32" s="17">
        <f t="shared" si="2"/>
        <v>19419</v>
      </c>
      <c r="N32" s="17">
        <f t="shared" si="2"/>
        <v>20800</v>
      </c>
      <c r="O32" s="17">
        <f t="shared" si="2"/>
        <v>18532</v>
      </c>
      <c r="P32" s="17">
        <f t="shared" si="2"/>
        <v>17949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 t="s">
        <v>0</v>
      </c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 t="s">
        <v>62</v>
      </c>
      <c r="AV32" s="4" t="s">
        <v>72</v>
      </c>
      <c r="AW32" s="2">
        <f>AW8*AW15*AW21</f>
        <v>10000</v>
      </c>
      <c r="AX32" s="2">
        <f>AX8*AX15*AX21</f>
        <v>7500</v>
      </c>
      <c r="AY32" s="2"/>
      <c r="AZ32" s="14">
        <v>0.6</v>
      </c>
      <c r="BA32" s="14" t="e">
        <f>BA21/#REF!</f>
        <v>#REF!</v>
      </c>
      <c r="BB32" s="14" t="e">
        <f>BB21/#REF!</f>
        <v>#REF!</v>
      </c>
      <c r="BC32" s="14" t="e">
        <f>BC21/#REF!</f>
        <v>#REF!</v>
      </c>
      <c r="BD32" s="14" t="e">
        <f>BD21/#REF!</f>
        <v>#REF!</v>
      </c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>
      <c r="A33" s="2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 t="s">
        <v>0</v>
      </c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 t="s">
        <v>62</v>
      </c>
      <c r="AV33" s="4" t="s">
        <v>73</v>
      </c>
      <c r="AW33" s="2">
        <f>AW8*AW15*AW24</f>
        <v>2400</v>
      </c>
      <c r="AX33" s="2">
        <f>AX8*AX15*AX24</f>
        <v>1800</v>
      </c>
      <c r="AY33" s="2"/>
      <c r="AZ33" s="14">
        <v>0.65</v>
      </c>
      <c r="BA33" s="14">
        <f>BA24/BA8</f>
        <v>1.5689655172413792</v>
      </c>
      <c r="BB33" s="14">
        <f>BB24/BB8</f>
        <v>0.97405660377358494</v>
      </c>
      <c r="BC33" s="14">
        <f>BC24/BC8</f>
        <v>0.8797814207650273</v>
      </c>
      <c r="BD33" s="14">
        <f>BD24/BD8</f>
        <v>0.84134615384615385</v>
      </c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80">
      <c r="A34" s="4" t="s">
        <v>74</v>
      </c>
      <c r="B34" s="17">
        <v>6595</v>
      </c>
      <c r="C34" s="17">
        <v>6416</v>
      </c>
      <c r="D34" s="17">
        <v>6286</v>
      </c>
      <c r="E34" s="17">
        <v>6441</v>
      </c>
      <c r="F34" s="17">
        <v>5828</v>
      </c>
      <c r="G34" s="17">
        <v>5216</v>
      </c>
      <c r="H34" s="17">
        <v>5457</v>
      </c>
      <c r="I34" s="18">
        <v>5861</v>
      </c>
      <c r="J34" s="18">
        <v>5491</v>
      </c>
      <c r="K34" s="18">
        <v>6338</v>
      </c>
      <c r="L34" s="17">
        <v>7385</v>
      </c>
      <c r="M34" s="17">
        <v>7565</v>
      </c>
      <c r="N34" s="17">
        <v>7711</v>
      </c>
      <c r="O34" s="17">
        <v>8686</v>
      </c>
      <c r="P34" s="17">
        <v>8592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 t="s">
        <v>0</v>
      </c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 t="s">
        <v>62</v>
      </c>
      <c r="AV34" s="4" t="s">
        <v>75</v>
      </c>
      <c r="AW34" s="2" t="e">
        <f>AW8*#REF!*AW25</f>
        <v>#REF!</v>
      </c>
      <c r="AX34" s="2" t="e">
        <f>AX8*#REF!*AX25</f>
        <v>#REF!</v>
      </c>
      <c r="AY34" s="2"/>
      <c r="AZ34" s="10" t="s">
        <v>35</v>
      </c>
      <c r="BA34" s="10" t="s">
        <v>35</v>
      </c>
      <c r="BB34" s="10" t="s">
        <v>35</v>
      </c>
      <c r="BC34" s="10" t="s">
        <v>35</v>
      </c>
      <c r="BD34" s="10" t="s">
        <v>35</v>
      </c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</row>
    <row r="35" spans="1:80">
      <c r="A35" s="4" t="s">
        <v>76</v>
      </c>
      <c r="B35" s="17">
        <v>4779</v>
      </c>
      <c r="C35" s="17">
        <v>5459</v>
      </c>
      <c r="D35" s="17">
        <v>6150</v>
      </c>
      <c r="E35" s="17">
        <v>9177</v>
      </c>
      <c r="F35" s="17">
        <v>5893</v>
      </c>
      <c r="G35" s="17">
        <v>6555</v>
      </c>
      <c r="H35" s="17">
        <v>5194</v>
      </c>
      <c r="I35" s="18">
        <v>6750</v>
      </c>
      <c r="J35" s="18">
        <v>6125</v>
      </c>
      <c r="K35" s="18">
        <v>1855</v>
      </c>
      <c r="L35" s="17">
        <v>6570</v>
      </c>
      <c r="M35" s="17">
        <v>6345</v>
      </c>
      <c r="N35" s="17">
        <v>5883</v>
      </c>
      <c r="O35" s="17">
        <v>7242</v>
      </c>
      <c r="P35" s="17">
        <v>7378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 t="s">
        <v>0</v>
      </c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 t="s">
        <v>62</v>
      </c>
      <c r="AV35" s="4" t="s">
        <v>77</v>
      </c>
      <c r="AW35" s="2" t="e">
        <f>AW32+AW33+AW34</f>
        <v>#REF!</v>
      </c>
      <c r="AX35" s="2" t="e">
        <f>AX32+AX33+AX34</f>
        <v>#REF!</v>
      </c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</row>
    <row r="36" spans="1:80">
      <c r="A36" s="4" t="s">
        <v>78</v>
      </c>
      <c r="B36" s="17">
        <f t="shared" ref="B36:P36" si="3">SUM(B34:B35)</f>
        <v>11374</v>
      </c>
      <c r="C36" s="17">
        <f t="shared" si="3"/>
        <v>11875</v>
      </c>
      <c r="D36" s="17">
        <f t="shared" si="3"/>
        <v>12436</v>
      </c>
      <c r="E36" s="17">
        <f t="shared" si="3"/>
        <v>15618</v>
      </c>
      <c r="F36" s="17">
        <f t="shared" si="3"/>
        <v>11721</v>
      </c>
      <c r="G36" s="17">
        <f t="shared" si="3"/>
        <v>11771</v>
      </c>
      <c r="H36" s="17">
        <f t="shared" si="3"/>
        <v>10651</v>
      </c>
      <c r="I36" s="17">
        <f t="shared" si="3"/>
        <v>12611</v>
      </c>
      <c r="J36" s="17">
        <f t="shared" si="3"/>
        <v>11616</v>
      </c>
      <c r="K36" s="17">
        <f t="shared" si="3"/>
        <v>8193</v>
      </c>
      <c r="L36" s="17">
        <f t="shared" si="3"/>
        <v>13955</v>
      </c>
      <c r="M36" s="17">
        <f t="shared" si="3"/>
        <v>13910</v>
      </c>
      <c r="N36" s="17">
        <f t="shared" si="3"/>
        <v>13594</v>
      </c>
      <c r="O36" s="17">
        <f t="shared" si="3"/>
        <v>15928</v>
      </c>
      <c r="P36" s="17">
        <f t="shared" si="3"/>
        <v>15970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 t="s">
        <v>0</v>
      </c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 t="s">
        <v>62</v>
      </c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</row>
    <row r="37" spans="1:80">
      <c r="A37" s="2"/>
      <c r="B37" s="17"/>
      <c r="C37" s="17"/>
      <c r="D37" s="17"/>
      <c r="E37" s="17"/>
      <c r="F37" s="17"/>
      <c r="G37" s="17"/>
      <c r="H37" s="17"/>
      <c r="I37" s="17"/>
      <c r="J37" s="17"/>
      <c r="K37" s="17">
        <f>AVERAGE(G35:K35)</f>
        <v>5295.8</v>
      </c>
      <c r="L37" s="17"/>
      <c r="M37" s="17"/>
      <c r="N37" s="17"/>
      <c r="O37" s="17"/>
      <c r="P37" s="17">
        <f>AVERAGE(L35:P35)</f>
        <v>6683.6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 t="s">
        <v>0</v>
      </c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 t="s">
        <v>62</v>
      </c>
      <c r="AV37" s="4" t="s">
        <v>79</v>
      </c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</row>
    <row r="38" spans="1:80">
      <c r="A38" s="4" t="s">
        <v>80</v>
      </c>
      <c r="B38" s="17">
        <f t="shared" ref="B38:P38" si="4">B39-(B32-B36)</f>
        <v>102</v>
      </c>
      <c r="C38" s="17">
        <f t="shared" si="4"/>
        <v>-4</v>
      </c>
      <c r="D38" s="17">
        <f t="shared" si="4"/>
        <v>299</v>
      </c>
      <c r="E38" s="17">
        <f t="shared" si="4"/>
        <v>140</v>
      </c>
      <c r="F38" s="17">
        <f t="shared" si="4"/>
        <v>328</v>
      </c>
      <c r="G38" s="17">
        <f t="shared" si="4"/>
        <v>140</v>
      </c>
      <c r="H38" s="17">
        <f t="shared" si="4"/>
        <v>52</v>
      </c>
      <c r="I38" s="17">
        <f t="shared" si="4"/>
        <v>-225</v>
      </c>
      <c r="J38" s="17">
        <f t="shared" si="4"/>
        <v>74</v>
      </c>
      <c r="K38" s="17">
        <f t="shared" si="4"/>
        <v>148</v>
      </c>
      <c r="L38" s="17">
        <f t="shared" si="4"/>
        <v>80</v>
      </c>
      <c r="M38" s="17">
        <f t="shared" si="4"/>
        <v>209</v>
      </c>
      <c r="N38" s="17">
        <f t="shared" si="4"/>
        <v>-180</v>
      </c>
      <c r="O38" s="17">
        <f t="shared" si="4"/>
        <v>194</v>
      </c>
      <c r="P38" s="17">
        <f t="shared" si="4"/>
        <v>283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 t="s">
        <v>0</v>
      </c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 t="s">
        <v>62</v>
      </c>
      <c r="AV38" s="4" t="s">
        <v>81</v>
      </c>
      <c r="AW38" s="2">
        <f>AW8*AW28</f>
        <v>12500</v>
      </c>
      <c r="AX38" s="2">
        <f>AX8*AX28</f>
        <v>9375</v>
      </c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</row>
    <row r="39" spans="1:80">
      <c r="A39" s="4" t="s">
        <v>82</v>
      </c>
      <c r="B39" s="17">
        <v>2879</v>
      </c>
      <c r="C39" s="17">
        <v>5278</v>
      </c>
      <c r="D39" s="17">
        <v>3905</v>
      </c>
      <c r="E39" s="17">
        <v>2962</v>
      </c>
      <c r="F39" s="17">
        <v>2614</v>
      </c>
      <c r="G39" s="17">
        <v>6567</v>
      </c>
      <c r="H39" s="17">
        <v>7844</v>
      </c>
      <c r="I39" s="17">
        <v>2693</v>
      </c>
      <c r="J39" s="17">
        <v>4024</v>
      </c>
      <c r="K39" s="17">
        <v>9289</v>
      </c>
      <c r="L39" s="17">
        <v>4942</v>
      </c>
      <c r="M39" s="17">
        <v>5718</v>
      </c>
      <c r="N39" s="17">
        <v>7026</v>
      </c>
      <c r="O39" s="17">
        <v>2798</v>
      </c>
      <c r="P39" s="17">
        <v>2262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 t="s">
        <v>0</v>
      </c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 t="s">
        <v>62</v>
      </c>
      <c r="AV39" s="4" t="s">
        <v>83</v>
      </c>
      <c r="AW39" s="2" t="e">
        <f>AW38+#REF!</f>
        <v>#REF!</v>
      </c>
      <c r="AX39" s="2" t="e">
        <f>AX38+#REF!</f>
        <v>#REF!</v>
      </c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</row>
    <row r="40" spans="1:80">
      <c r="A40" s="4" t="s">
        <v>84</v>
      </c>
      <c r="B40" s="17">
        <v>0</v>
      </c>
      <c r="C40" s="17">
        <v>0</v>
      </c>
      <c r="D40" s="17">
        <v>1</v>
      </c>
      <c r="E40" s="17">
        <v>0</v>
      </c>
      <c r="F40" s="17">
        <v>0</v>
      </c>
      <c r="G40" s="17">
        <v>1</v>
      </c>
      <c r="H40" s="17">
        <v>396</v>
      </c>
      <c r="I40" s="18">
        <v>158</v>
      </c>
      <c r="J40" s="18">
        <v>124</v>
      </c>
      <c r="K40" s="18">
        <v>775</v>
      </c>
      <c r="L40" s="17">
        <v>69</v>
      </c>
      <c r="M40" s="17">
        <v>5</v>
      </c>
      <c r="N40" s="17">
        <v>92</v>
      </c>
      <c r="O40" s="17">
        <v>27</v>
      </c>
      <c r="P40" s="17">
        <v>1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 t="s">
        <v>0</v>
      </c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 t="s">
        <v>62</v>
      </c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</row>
    <row r="41" spans="1:80">
      <c r="A41" s="4" t="s">
        <v>85</v>
      </c>
      <c r="B41" s="17">
        <v>309</v>
      </c>
      <c r="C41" s="17">
        <v>1299</v>
      </c>
      <c r="D41" s="17">
        <v>651</v>
      </c>
      <c r="E41" s="17">
        <v>540</v>
      </c>
      <c r="F41" s="17">
        <v>723</v>
      </c>
      <c r="G41" s="17">
        <v>3643</v>
      </c>
      <c r="H41" s="17">
        <v>4267</v>
      </c>
      <c r="I41" s="18">
        <v>440</v>
      </c>
      <c r="J41" s="18">
        <v>1548</v>
      </c>
      <c r="K41" s="17">
        <v>5965</v>
      </c>
      <c r="L41" s="17">
        <v>2914</v>
      </c>
      <c r="M41" s="17">
        <v>3163</v>
      </c>
      <c r="N41" s="17">
        <v>4119</v>
      </c>
      <c r="O41" s="17">
        <v>430</v>
      </c>
      <c r="P41" s="17">
        <v>214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 t="s">
        <v>0</v>
      </c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 t="s">
        <v>62</v>
      </c>
      <c r="AV41" s="4" t="s">
        <v>86</v>
      </c>
      <c r="AW41" s="2" t="e">
        <f>AW35-AW39</f>
        <v>#REF!</v>
      </c>
      <c r="AX41" s="2" t="e">
        <f>AX35-AX39</f>
        <v>#REF!</v>
      </c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</row>
    <row r="42" spans="1:80">
      <c r="A42" s="4" t="s">
        <v>87</v>
      </c>
      <c r="B42" s="17">
        <f t="shared" ref="B42:P42" si="5">B39-B40-B41</f>
        <v>2570</v>
      </c>
      <c r="C42" s="17">
        <f t="shared" si="5"/>
        <v>3979</v>
      </c>
      <c r="D42" s="17">
        <f t="shared" si="5"/>
        <v>3253</v>
      </c>
      <c r="E42" s="17">
        <f t="shared" si="5"/>
        <v>2422</v>
      </c>
      <c r="F42" s="17">
        <f t="shared" si="5"/>
        <v>1891</v>
      </c>
      <c r="G42" s="17">
        <f t="shared" si="5"/>
        <v>2923</v>
      </c>
      <c r="H42" s="17">
        <f t="shared" si="5"/>
        <v>3181</v>
      </c>
      <c r="I42" s="17">
        <f t="shared" si="5"/>
        <v>2095</v>
      </c>
      <c r="J42" s="17">
        <f t="shared" si="5"/>
        <v>2352</v>
      </c>
      <c r="K42" s="17">
        <f t="shared" si="5"/>
        <v>2549</v>
      </c>
      <c r="L42" s="17">
        <f t="shared" si="5"/>
        <v>1959</v>
      </c>
      <c r="M42" s="17">
        <f t="shared" si="5"/>
        <v>2550</v>
      </c>
      <c r="N42" s="17">
        <f t="shared" si="5"/>
        <v>2815</v>
      </c>
      <c r="O42" s="17">
        <f t="shared" si="5"/>
        <v>2341</v>
      </c>
      <c r="P42" s="17">
        <f t="shared" si="5"/>
        <v>2047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 t="s">
        <v>0</v>
      </c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 t="s">
        <v>62</v>
      </c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</row>
    <row r="43" spans="1:80">
      <c r="A43" s="22" t="s">
        <v>88</v>
      </c>
      <c r="B43" s="23">
        <f t="shared" ref="B43:P43" si="6">B39/B36</f>
        <v>0.25312115350800068</v>
      </c>
      <c r="C43" s="23">
        <f t="shared" si="6"/>
        <v>0.44446315789473684</v>
      </c>
      <c r="D43" s="23">
        <f t="shared" si="6"/>
        <v>0.31400771952396267</v>
      </c>
      <c r="E43" s="23">
        <f t="shared" si="6"/>
        <v>0.18965296452810859</v>
      </c>
      <c r="F43" s="23">
        <f t="shared" si="6"/>
        <v>0.22301851377868784</v>
      </c>
      <c r="G43" s="23">
        <f t="shared" si="6"/>
        <v>0.55789652535893297</v>
      </c>
      <c r="H43" s="23">
        <f t="shared" si="6"/>
        <v>0.7364566707351422</v>
      </c>
      <c r="I43" s="23">
        <f t="shared" si="6"/>
        <v>0.21354373166283402</v>
      </c>
      <c r="J43" s="23">
        <f t="shared" si="6"/>
        <v>0.34641873278236912</v>
      </c>
      <c r="K43" s="23">
        <f t="shared" si="6"/>
        <v>1.1337727328207006</v>
      </c>
      <c r="L43" s="23">
        <f t="shared" si="6"/>
        <v>0.35413830168398425</v>
      </c>
      <c r="M43" s="23">
        <f t="shared" si="6"/>
        <v>0.41107117181883535</v>
      </c>
      <c r="N43" s="23">
        <f t="shared" si="6"/>
        <v>0.51684566720612035</v>
      </c>
      <c r="O43" s="23">
        <f t="shared" si="6"/>
        <v>0.17566549472626822</v>
      </c>
      <c r="P43" s="23">
        <f t="shared" si="6"/>
        <v>0.14164057608015029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 t="s">
        <v>0</v>
      </c>
      <c r="AH43" s="2"/>
      <c r="AI43" s="2"/>
      <c r="AJ43" s="2"/>
      <c r="AK43" s="2"/>
      <c r="AL43" s="10" t="s">
        <v>18</v>
      </c>
      <c r="AM43" s="10" t="s">
        <v>18</v>
      </c>
      <c r="AN43" s="10" t="s">
        <v>18</v>
      </c>
      <c r="AO43" s="10" t="s">
        <v>18</v>
      </c>
      <c r="AP43" s="10" t="s">
        <v>18</v>
      </c>
      <c r="AQ43" s="10" t="s">
        <v>18</v>
      </c>
      <c r="AR43" s="10" t="s">
        <v>18</v>
      </c>
      <c r="AS43" s="10" t="s">
        <v>18</v>
      </c>
      <c r="AT43" s="10" t="s">
        <v>18</v>
      </c>
      <c r="AU43" s="4" t="s">
        <v>59</v>
      </c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>
      <c r="A44" s="4" t="s">
        <v>89</v>
      </c>
      <c r="B44" s="14">
        <v>43.2</v>
      </c>
      <c r="C44" s="14">
        <v>47.8</v>
      </c>
      <c r="D44" s="14">
        <v>52</v>
      </c>
      <c r="E44" s="14">
        <v>57.7</v>
      </c>
      <c r="F44" s="14">
        <v>58.4</v>
      </c>
      <c r="G44" s="14">
        <v>70.87</v>
      </c>
      <c r="H44" s="14">
        <v>71</v>
      </c>
      <c r="I44" s="14">
        <v>76</v>
      </c>
      <c r="J44" s="14">
        <v>81</v>
      </c>
      <c r="K44" s="14">
        <v>81</v>
      </c>
      <c r="L44" s="14">
        <v>81</v>
      </c>
      <c r="M44" s="14">
        <v>79.400000000000006</v>
      </c>
      <c r="N44" s="14">
        <v>75.900000000000006</v>
      </c>
      <c r="O44" s="14">
        <v>73.400000000000006</v>
      </c>
      <c r="P44" s="14">
        <v>72.900000000000006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</row>
    <row r="45" spans="1:80">
      <c r="A45" s="4" t="s">
        <v>90</v>
      </c>
      <c r="B45" s="14">
        <v>60.6</v>
      </c>
      <c r="C45" s="14">
        <v>56.2</v>
      </c>
      <c r="D45" s="14">
        <v>55.1</v>
      </c>
      <c r="E45" s="14">
        <v>58.9</v>
      </c>
      <c r="F45" s="14">
        <v>73.3</v>
      </c>
      <c r="G45" s="14">
        <v>63.2</v>
      </c>
      <c r="H45" s="14">
        <v>55.2</v>
      </c>
      <c r="I45" s="14">
        <v>63.9</v>
      </c>
      <c r="J45" s="14">
        <v>62.4</v>
      </c>
      <c r="K45" s="14">
        <v>54.7</v>
      </c>
      <c r="L45" s="14">
        <v>53.8</v>
      </c>
      <c r="M45" s="14">
        <v>62.1</v>
      </c>
      <c r="N45" s="14">
        <v>56.5</v>
      </c>
      <c r="O45" s="14">
        <v>60.3</v>
      </c>
      <c r="P45" s="14">
        <v>65.599999999999994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</row>
    <row r="46" spans="1:80">
      <c r="A46" s="4" t="s">
        <v>91</v>
      </c>
      <c r="B46" s="14">
        <f t="shared" ref="B46:I46" si="7">MAX(B44-MAX(B50,B45),0)</f>
        <v>0</v>
      </c>
      <c r="C46" s="14">
        <f t="shared" si="7"/>
        <v>0</v>
      </c>
      <c r="D46" s="14">
        <f t="shared" si="7"/>
        <v>0</v>
      </c>
      <c r="E46" s="14">
        <f t="shared" si="7"/>
        <v>0</v>
      </c>
      <c r="F46" s="14">
        <f t="shared" si="7"/>
        <v>0</v>
      </c>
      <c r="G46" s="14">
        <f t="shared" si="7"/>
        <v>7.6700000000000017</v>
      </c>
      <c r="H46" s="14">
        <f t="shared" si="7"/>
        <v>13.920000000000002</v>
      </c>
      <c r="I46" s="14">
        <f t="shared" si="7"/>
        <v>12.100000000000001</v>
      </c>
      <c r="J46" s="14">
        <v>18.600000000000001</v>
      </c>
      <c r="K46" s="14">
        <f>MAX(K44-MAX(K50,K45),0)</f>
        <v>23.700000000000003</v>
      </c>
      <c r="L46" s="14">
        <f>L44-MAX(L45,L50)</f>
        <v>26</v>
      </c>
      <c r="M46" s="14">
        <f>M44-MAX(M45,M50)</f>
        <v>17.300000000000004</v>
      </c>
      <c r="N46" s="14">
        <f>N44-MAX(N45,N50)</f>
        <v>19.400000000000006</v>
      </c>
      <c r="O46" s="14">
        <f>O44-MAX(O45,O50)</f>
        <v>13.100000000000009</v>
      </c>
      <c r="P46" s="14">
        <f>P44-MAX(P45,P50)</f>
        <v>7.3000000000000114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</row>
    <row r="47" spans="1:80">
      <c r="A47" s="4" t="s">
        <v>92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14">
        <f>MAX(L50-L51,0)</f>
        <v>11</v>
      </c>
      <c r="M47" s="2">
        <f>MAX(M50-M51,0)</f>
        <v>0</v>
      </c>
      <c r="N47" s="14">
        <f>MAX(N50-N51,0)</f>
        <v>0</v>
      </c>
      <c r="O47" s="14">
        <f>MAX(O50-O51,0)</f>
        <v>0</v>
      </c>
      <c r="P47" s="14">
        <f>MAX(P50-P51,0)</f>
        <v>0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</row>
    <row r="48" spans="1:80">
      <c r="A48" s="4" t="s">
        <v>93</v>
      </c>
      <c r="B48" s="14">
        <v>0</v>
      </c>
      <c r="C48" s="14">
        <v>0</v>
      </c>
      <c r="D48" s="14">
        <v>17.329999999999998</v>
      </c>
      <c r="E48" s="14">
        <v>19.23</v>
      </c>
      <c r="F48" s="14">
        <v>19.46</v>
      </c>
      <c r="G48" s="14">
        <v>23.62</v>
      </c>
      <c r="H48" s="14">
        <v>20.5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14">
        <f>ROUND(0.65*N44,2)</f>
        <v>49.34</v>
      </c>
      <c r="O48" s="2">
        <v>0</v>
      </c>
      <c r="P48" s="2">
        <v>0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</row>
    <row r="49" spans="1:80">
      <c r="A49" s="4" t="s">
        <v>94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14">
        <v>25</v>
      </c>
      <c r="J49" s="2">
        <v>0</v>
      </c>
      <c r="K49" s="14">
        <v>30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</row>
    <row r="50" spans="1:80">
      <c r="A50" s="4" t="s">
        <v>95</v>
      </c>
      <c r="B50" s="14">
        <v>38.92</v>
      </c>
      <c r="C50" s="14">
        <v>44.63</v>
      </c>
      <c r="D50" s="14">
        <v>48</v>
      </c>
      <c r="E50" s="14">
        <v>50.23</v>
      </c>
      <c r="F50" s="14">
        <v>48</v>
      </c>
      <c r="G50" s="14">
        <v>52.46</v>
      </c>
      <c r="H50" s="14">
        <v>57.08</v>
      </c>
      <c r="I50" s="14">
        <v>55</v>
      </c>
      <c r="J50" s="14">
        <v>55</v>
      </c>
      <c r="K50" s="14">
        <v>57.3</v>
      </c>
      <c r="L50" s="14">
        <v>55</v>
      </c>
      <c r="M50" s="14">
        <v>52.25</v>
      </c>
      <c r="N50" s="14">
        <f>ROUND(MAX((0.85*((SUM(H116,I116,J116,K116,L116)-MAX(H116,I116,J116,K116,L116)-MIN(H116,I116,J116,K116,L116))/3)),(0.95*M50),50),1)</f>
        <v>50</v>
      </c>
      <c r="O50" s="14">
        <v>50</v>
      </c>
      <c r="P50" s="14">
        <f>ROUND(MAX((0.85*((SUM(J116,K116,L116,M116,N116)-MAX(J116,K116,L116,M116,N116)-MIN(J116,K116,L116,M116,N116))/3)),(0.97*O50),50),2)</f>
        <v>50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</row>
    <row r="51" spans="1:80">
      <c r="A51" s="4" t="s">
        <v>96</v>
      </c>
      <c r="B51" s="2"/>
      <c r="C51" s="2"/>
      <c r="D51" s="2"/>
      <c r="E51" s="2"/>
      <c r="F51" s="2"/>
      <c r="G51" s="2"/>
      <c r="H51" s="14">
        <f>H50</f>
        <v>57.08</v>
      </c>
      <c r="I51" s="14">
        <f>I50</f>
        <v>55</v>
      </c>
      <c r="J51" s="14">
        <f>J50</f>
        <v>55</v>
      </c>
      <c r="K51" s="14">
        <f>K50</f>
        <v>57.3</v>
      </c>
      <c r="L51" s="14">
        <v>44</v>
      </c>
      <c r="M51" s="14">
        <f>ROUND(IF(M56&lt;M50,(MAX((0.8*M50),M56)),M50),2)</f>
        <v>52.25</v>
      </c>
      <c r="N51" s="14">
        <f>ROUND(IF(N56&lt;N50,(MAX((0.8*N50),N56)),N50),2)</f>
        <v>50</v>
      </c>
      <c r="O51" s="14">
        <f>ROUND(IF(O58&lt;O50,O58,O50),2)</f>
        <v>50</v>
      </c>
      <c r="P51" s="14">
        <f>ROUND(IF(P58&lt;P50,P58,P50),2)</f>
        <v>50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</row>
    <row r="52" spans="1:80">
      <c r="A52" s="4" t="s">
        <v>97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</row>
    <row r="53" spans="1:80">
      <c r="A53" s="4" t="s">
        <v>98</v>
      </c>
      <c r="B53" s="2"/>
      <c r="C53" s="2"/>
      <c r="D53" s="2"/>
      <c r="E53" s="2"/>
      <c r="F53" s="2"/>
      <c r="G53" s="2"/>
      <c r="H53" s="14">
        <v>59.1</v>
      </c>
      <c r="I53" s="14">
        <v>66</v>
      </c>
      <c r="J53" s="14">
        <v>57.5</v>
      </c>
      <c r="K53" s="14">
        <v>56.1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4" t="s">
        <v>99</v>
      </c>
      <c r="AI53" s="4" t="s">
        <v>100</v>
      </c>
      <c r="AJ53" s="4" t="s">
        <v>101</v>
      </c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</row>
    <row r="54" spans="1:80">
      <c r="A54" s="4" t="s">
        <v>102</v>
      </c>
      <c r="B54" s="14">
        <v>63.8</v>
      </c>
      <c r="C54" s="14">
        <v>52.1</v>
      </c>
      <c r="D54" s="14">
        <v>58.1</v>
      </c>
      <c r="E54" s="14">
        <v>62.3</v>
      </c>
      <c r="F54" s="14">
        <v>74.400000000000006</v>
      </c>
      <c r="G54" s="14">
        <v>54</v>
      </c>
      <c r="H54" s="14">
        <v>59.5</v>
      </c>
      <c r="I54" s="24">
        <v>65.3</v>
      </c>
      <c r="J54" s="24">
        <v>58.7</v>
      </c>
      <c r="K54" s="24">
        <v>56.8</v>
      </c>
      <c r="L54" s="14">
        <v>51.5</v>
      </c>
      <c r="M54" s="14">
        <v>63.7</v>
      </c>
      <c r="N54" s="14">
        <v>55.6</v>
      </c>
      <c r="O54" s="14">
        <v>63.6</v>
      </c>
      <c r="P54" s="14">
        <v>67.099999999999994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4" t="s">
        <v>103</v>
      </c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</row>
    <row r="55" spans="1:80">
      <c r="A55" s="4" t="s">
        <v>104</v>
      </c>
      <c r="B55" s="14">
        <f t="shared" ref="B55:P55" si="8">MIN(B50,B51,B52)+ROUND(EXP(3.65-(4.852*B43)),2)</f>
        <v>50.19</v>
      </c>
      <c r="C55" s="14">
        <f t="shared" si="8"/>
        <v>49.080000000000005</v>
      </c>
      <c r="D55" s="14">
        <f t="shared" si="8"/>
        <v>56.38</v>
      </c>
      <c r="E55" s="14">
        <f t="shared" si="8"/>
        <v>65.56</v>
      </c>
      <c r="F55" s="14">
        <f t="shared" si="8"/>
        <v>61.04</v>
      </c>
      <c r="G55" s="14">
        <f t="shared" si="8"/>
        <v>55.03</v>
      </c>
      <c r="H55" s="14">
        <f t="shared" si="8"/>
        <v>58.16</v>
      </c>
      <c r="I55" s="14">
        <f t="shared" si="8"/>
        <v>68.650000000000006</v>
      </c>
      <c r="J55" s="14">
        <f t="shared" si="8"/>
        <v>62.16</v>
      </c>
      <c r="K55" s="14">
        <f t="shared" si="8"/>
        <v>57.459999999999994</v>
      </c>
      <c r="L55" s="14">
        <f t="shared" si="8"/>
        <v>50.9</v>
      </c>
      <c r="M55" s="14">
        <f t="shared" si="8"/>
        <v>57.49</v>
      </c>
      <c r="N55" s="14">
        <f t="shared" si="8"/>
        <v>53.13</v>
      </c>
      <c r="O55" s="14">
        <f t="shared" si="8"/>
        <v>66.41</v>
      </c>
      <c r="P55" s="14">
        <f t="shared" si="8"/>
        <v>69.349999999999994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</row>
    <row r="56" spans="1:80">
      <c r="A56" s="4" t="s">
        <v>105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14">
        <v>48.71</v>
      </c>
      <c r="M56" s="14">
        <v>60.34</v>
      </c>
      <c r="N56" s="14">
        <v>51.89</v>
      </c>
      <c r="O56" s="14">
        <v>65.05</v>
      </c>
      <c r="P56" s="14">
        <v>66.05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</row>
    <row r="57" spans="1:80">
      <c r="A57" s="4" t="s">
        <v>106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14">
        <f>ROUND(1.15*O50,2)</f>
        <v>57.5</v>
      </c>
      <c r="P57" s="14">
        <f>ROUND(1.15*P50,2)</f>
        <v>57.5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</row>
    <row r="58" spans="1:80">
      <c r="A58" s="4" t="s">
        <v>107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14">
        <f>O56</f>
        <v>65.05</v>
      </c>
      <c r="P58" s="14">
        <f>P56</f>
        <v>66.05</v>
      </c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4" t="s">
        <v>108</v>
      </c>
      <c r="AI58" s="4" t="s">
        <v>109</v>
      </c>
      <c r="AJ58" s="4" t="s">
        <v>110</v>
      </c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</row>
    <row r="59" spans="1:80">
      <c r="A59" s="4" t="s">
        <v>111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14">
        <v>1.5</v>
      </c>
      <c r="M59" s="2">
        <v>0</v>
      </c>
      <c r="N59" s="14">
        <v>0.7</v>
      </c>
      <c r="O59" s="14">
        <v>0.1</v>
      </c>
      <c r="P59" s="14">
        <v>0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4" t="s">
        <v>103</v>
      </c>
      <c r="AI59" s="2"/>
      <c r="AJ59" s="4" t="s">
        <v>112</v>
      </c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</row>
    <row r="60" spans="1:8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10" t="s">
        <v>18</v>
      </c>
      <c r="AI60" s="10" t="s">
        <v>18</v>
      </c>
      <c r="AJ60" s="10" t="s">
        <v>18</v>
      </c>
      <c r="AK60" s="10" t="s">
        <v>18</v>
      </c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</row>
    <row r="61" spans="1:8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5"/>
      <c r="N61" s="25"/>
      <c r="O61" s="25"/>
      <c r="P61" s="25"/>
      <c r="Q61" s="25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</row>
    <row r="62" spans="1:8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</row>
    <row r="63" spans="1:8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</row>
    <row r="64" spans="1:8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</row>
    <row r="65" spans="1:8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</row>
    <row r="66" spans="1:8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</row>
    <row r="67" spans="1:8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</row>
    <row r="68" spans="1:8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</row>
    <row r="69" spans="1:8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</row>
    <row r="70" spans="1:8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</row>
    <row r="71" spans="1:8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</row>
    <row r="72" spans="1:80">
      <c r="A72" s="20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>
        <v>0.5</v>
      </c>
      <c r="AW72" s="2">
        <v>0.55000000000000004</v>
      </c>
      <c r="AX72" s="2">
        <v>0.6</v>
      </c>
      <c r="AY72" s="2">
        <v>0.65</v>
      </c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</row>
    <row r="73" spans="1:80">
      <c r="A73" s="4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>
        <v>0.19</v>
      </c>
      <c r="AW73" s="2">
        <v>0.16</v>
      </c>
      <c r="AX73" s="2">
        <v>0.13</v>
      </c>
      <c r="AY73" s="2">
        <v>0.1</v>
      </c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4" t="s">
        <v>113</v>
      </c>
      <c r="BQ73" s="2"/>
      <c r="BR73" s="2" t="s">
        <v>114</v>
      </c>
      <c r="BS73" s="2"/>
      <c r="BT73" s="2"/>
      <c r="BU73" s="2"/>
      <c r="BV73" s="2"/>
      <c r="BW73" s="2"/>
      <c r="BX73" s="2"/>
      <c r="BY73" s="2"/>
      <c r="BZ73" s="2"/>
      <c r="CA73" s="2"/>
      <c r="CB73" s="2"/>
    </row>
    <row r="74" spans="1:80">
      <c r="A74" s="4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>
        <f>212046+197307</f>
        <v>409353</v>
      </c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4" t="s">
        <v>115</v>
      </c>
      <c r="BS74" s="2"/>
      <c r="BT74" s="2"/>
      <c r="BU74" s="2"/>
      <c r="BV74" s="2"/>
      <c r="BW74" s="2"/>
      <c r="BX74" s="2"/>
      <c r="BY74" s="2"/>
      <c r="BZ74" s="2"/>
      <c r="CA74" s="2"/>
      <c r="CB74" s="2"/>
    </row>
    <row r="75" spans="1:80">
      <c r="A75" s="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</row>
    <row r="76" spans="1:80">
      <c r="A76" s="4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>
        <f>212807+262500</f>
        <v>475307</v>
      </c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</row>
    <row r="77" spans="1:80">
      <c r="A77" s="4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4" t="s">
        <v>116</v>
      </c>
      <c r="BQ77" s="2"/>
      <c r="BR77" s="2" t="s">
        <v>117</v>
      </c>
      <c r="BS77" s="2"/>
      <c r="BT77" s="2"/>
      <c r="BU77" s="2"/>
      <c r="BV77" s="2"/>
      <c r="BW77" s="2"/>
      <c r="BX77" s="2"/>
      <c r="BY77" s="2"/>
      <c r="BZ77" s="2"/>
      <c r="CA77" s="2"/>
      <c r="CB77" s="2"/>
    </row>
    <row r="78" spans="1:80">
      <c r="A78" s="4"/>
      <c r="B78" s="2"/>
      <c r="C78" s="2"/>
      <c r="D78" s="2"/>
      <c r="E78" s="2"/>
      <c r="F78" s="2"/>
      <c r="G78" s="2"/>
      <c r="H78" s="2"/>
      <c r="I78" s="2"/>
      <c r="J78" s="2"/>
      <c r="K78" s="2"/>
      <c r="L78" s="17"/>
      <c r="M78" s="17"/>
      <c r="N78" s="17"/>
      <c r="O78" s="17"/>
      <c r="P78" s="17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</row>
    <row r="79" spans="1:80">
      <c r="A79" s="4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17"/>
      <c r="BT79" s="17"/>
      <c r="BU79" s="2"/>
      <c r="BV79" s="2"/>
      <c r="BW79" s="2"/>
      <c r="BX79" s="2"/>
      <c r="BY79" s="2"/>
      <c r="BZ79" s="2"/>
      <c r="CA79" s="2"/>
      <c r="CB79" s="2"/>
    </row>
    <row r="80" spans="1:80">
      <c r="A80" s="4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 t="s">
        <v>118</v>
      </c>
      <c r="BQ80" s="17"/>
      <c r="BR80" s="17" t="e">
        <f>#REF!*0.1</f>
        <v>#REF!</v>
      </c>
      <c r="BS80" s="17"/>
      <c r="BT80" s="17"/>
      <c r="BU80" s="2"/>
      <c r="BV80" s="2"/>
      <c r="BW80" s="2"/>
      <c r="BX80" s="2"/>
      <c r="BY80" s="2"/>
      <c r="BZ80" s="2"/>
      <c r="CA80" s="2"/>
      <c r="CB80" s="2"/>
    </row>
    <row r="81" spans="1:80">
      <c r="A81" s="4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17"/>
      <c r="BR81" s="17"/>
      <c r="BS81" s="17"/>
      <c r="BT81" s="17"/>
      <c r="BU81" s="2"/>
      <c r="BV81" s="2"/>
      <c r="BW81" s="2"/>
      <c r="BX81" s="2"/>
      <c r="BY81" s="2"/>
      <c r="BZ81" s="2"/>
      <c r="CA81" s="2"/>
      <c r="CB81" s="2"/>
    </row>
    <row r="82" spans="1:80">
      <c r="A82" s="4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17"/>
      <c r="BR82" s="17"/>
      <c r="BS82" s="17"/>
      <c r="BT82" s="17"/>
      <c r="BU82" s="2"/>
      <c r="BV82" s="2"/>
      <c r="BW82" s="2"/>
      <c r="BX82" s="2"/>
      <c r="BY82" s="2"/>
      <c r="BZ82" s="2"/>
      <c r="CA82" s="2"/>
      <c r="CB82" s="2"/>
    </row>
    <row r="83" spans="1:80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</row>
    <row r="84" spans="1:80">
      <c r="A84" s="4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17"/>
      <c r="BR84" s="17"/>
      <c r="BS84" s="17"/>
      <c r="BT84" s="17"/>
      <c r="BU84" s="2"/>
      <c r="BV84" s="2"/>
      <c r="BW84" s="2"/>
      <c r="BX84" s="2"/>
      <c r="BY84" s="2"/>
      <c r="BZ84" s="2"/>
      <c r="CA84" s="2"/>
      <c r="CB84" s="2"/>
    </row>
    <row r="85" spans="1:80">
      <c r="A85" s="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</row>
    <row r="86" spans="1:80">
      <c r="A86" s="6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17"/>
      <c r="BR86" s="17"/>
      <c r="BS86" s="17"/>
      <c r="BT86" s="17"/>
      <c r="BU86" s="2"/>
      <c r="BV86" s="2"/>
      <c r="BW86" s="2"/>
      <c r="BX86" s="2"/>
      <c r="BY86" s="2"/>
      <c r="BZ86" s="2"/>
      <c r="CA86" s="2"/>
      <c r="CB86" s="2"/>
    </row>
    <row r="87" spans="1:80">
      <c r="A87" s="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</row>
    <row r="88" spans="1:80">
      <c r="A88" s="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</row>
    <row r="89" spans="1:80">
      <c r="A89" s="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</row>
    <row r="90" spans="1:80">
      <c r="A90" s="29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4" t="s">
        <v>119</v>
      </c>
      <c r="BQ90" s="17"/>
      <c r="BR90" s="17" t="s">
        <v>120</v>
      </c>
      <c r="BS90" s="17"/>
      <c r="BT90" s="17"/>
      <c r="BU90" s="2"/>
      <c r="BV90" s="2"/>
      <c r="BW90" s="2"/>
      <c r="BX90" s="2"/>
      <c r="BY90" s="2"/>
      <c r="BZ90" s="2"/>
      <c r="CA90" s="2"/>
      <c r="CB90" s="2"/>
    </row>
    <row r="91" spans="1:80">
      <c r="A91" s="4"/>
      <c r="B91" s="2"/>
      <c r="C91" s="2"/>
      <c r="D91" s="2"/>
      <c r="E91" s="2"/>
      <c r="F91" s="2"/>
      <c r="G91" s="2"/>
      <c r="H91" s="2"/>
      <c r="I91" s="2"/>
      <c r="J91" s="14"/>
      <c r="K91" s="14"/>
      <c r="L91" s="14"/>
      <c r="M91" s="14"/>
      <c r="N91" s="14"/>
      <c r="O91" s="14"/>
      <c r="P91" s="14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17" t="s">
        <v>121</v>
      </c>
      <c r="BS91" s="2"/>
      <c r="BT91" s="17"/>
      <c r="BU91" s="2"/>
      <c r="BV91" s="2"/>
      <c r="BW91" s="2"/>
      <c r="BX91" s="2"/>
      <c r="BY91" s="2"/>
      <c r="BZ91" s="2"/>
      <c r="CA91" s="2"/>
      <c r="CB91" s="2"/>
    </row>
    <row r="92" spans="1:80">
      <c r="A92" s="4"/>
      <c r="B92" s="2"/>
      <c r="C92" s="2"/>
      <c r="D92" s="2"/>
      <c r="E92" s="2"/>
      <c r="F92" s="2"/>
      <c r="G92" s="2"/>
      <c r="H92" s="2"/>
      <c r="I92" s="2"/>
      <c r="J92" s="14"/>
      <c r="K92" s="14"/>
      <c r="L92" s="14"/>
      <c r="M92" s="14"/>
      <c r="N92" s="14"/>
      <c r="O92" s="14"/>
      <c r="P92" s="14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17" t="s">
        <v>122</v>
      </c>
      <c r="BR92" s="17" t="s">
        <v>123</v>
      </c>
      <c r="BS92" s="17" t="s">
        <v>124</v>
      </c>
      <c r="BT92" s="17"/>
      <c r="BU92" s="2"/>
      <c r="BV92" s="2"/>
      <c r="BW92" s="2"/>
      <c r="BX92" s="2"/>
      <c r="BY92" s="2"/>
      <c r="BZ92" s="2"/>
      <c r="CA92" s="2"/>
      <c r="CB92" s="2"/>
    </row>
    <row r="93" spans="1:8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</row>
    <row r="94" spans="1:80">
      <c r="A94" s="29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17"/>
      <c r="BR94" s="17"/>
      <c r="BS94" s="17"/>
      <c r="BT94" s="17"/>
      <c r="BU94" s="2"/>
      <c r="BV94" s="2"/>
      <c r="BW94" s="2"/>
      <c r="BX94" s="2"/>
      <c r="BY94" s="2"/>
      <c r="BZ94" s="2"/>
      <c r="CA94" s="2"/>
      <c r="CB94" s="2"/>
    </row>
    <row r="95" spans="1:80">
      <c r="A95" s="4"/>
      <c r="B95" s="2"/>
      <c r="C95" s="2"/>
      <c r="D95" s="2"/>
      <c r="E95" s="2"/>
      <c r="F95" s="2"/>
      <c r="G95" s="2"/>
      <c r="H95" s="2"/>
      <c r="I95" s="2"/>
      <c r="J95" s="17"/>
      <c r="K95" s="17"/>
      <c r="L95" s="17"/>
      <c r="M95" s="17"/>
      <c r="N95" s="17"/>
      <c r="O95" s="17"/>
      <c r="P95" s="17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 t="s">
        <v>125</v>
      </c>
      <c r="BQ95" s="17" t="e">
        <f>#REF!*0.4</f>
        <v>#REF!</v>
      </c>
      <c r="BR95" s="17" t="e">
        <f>#REF!*0.4</f>
        <v>#REF!</v>
      </c>
      <c r="BS95" s="17" t="e">
        <f>#REF!*0.4</f>
        <v>#REF!</v>
      </c>
      <c r="BT95" s="17"/>
      <c r="BU95" s="2"/>
      <c r="BV95" s="2"/>
      <c r="BW95" s="2"/>
      <c r="BX95" s="2"/>
      <c r="BY95" s="2"/>
      <c r="BZ95" s="2"/>
      <c r="CA95" s="2"/>
      <c r="CB95" s="2"/>
    </row>
    <row r="96" spans="1:80">
      <c r="A96" s="4"/>
      <c r="B96" s="2"/>
      <c r="C96" s="2"/>
      <c r="D96" s="2"/>
      <c r="E96" s="2"/>
      <c r="F96" s="2"/>
      <c r="G96" s="2"/>
      <c r="H96" s="2"/>
      <c r="I96" s="2"/>
      <c r="J96" s="17"/>
      <c r="K96" s="17"/>
      <c r="L96" s="17"/>
      <c r="M96" s="17"/>
      <c r="N96" s="17"/>
      <c r="O96" s="17"/>
      <c r="P96" s="17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 t="s">
        <v>126</v>
      </c>
      <c r="BQ96" s="17" t="e">
        <f>#REF!*0.5</f>
        <v>#REF!</v>
      </c>
      <c r="BR96" s="17" t="e">
        <f>#REF!*0.5</f>
        <v>#REF!</v>
      </c>
      <c r="BS96" s="17" t="e">
        <f>#REF!*0.5</f>
        <v>#REF!</v>
      </c>
      <c r="BT96" s="17"/>
      <c r="BU96" s="2"/>
      <c r="BV96" s="2"/>
      <c r="BW96" s="2"/>
      <c r="BX96" s="2"/>
      <c r="BY96" s="2"/>
      <c r="BZ96" s="2"/>
      <c r="CA96" s="2"/>
      <c r="CB96" s="2"/>
    </row>
    <row r="97" spans="1:80">
      <c r="A97" s="4"/>
      <c r="B97" s="2"/>
      <c r="C97" s="2"/>
      <c r="D97" s="2"/>
      <c r="E97" s="2"/>
      <c r="F97" s="2"/>
      <c r="G97" s="2"/>
      <c r="H97" s="2"/>
      <c r="I97" s="2"/>
      <c r="J97" s="17"/>
      <c r="K97" s="17"/>
      <c r="L97" s="17"/>
      <c r="M97" s="17"/>
      <c r="N97" s="17"/>
      <c r="O97" s="17"/>
      <c r="P97" s="17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 t="s">
        <v>127</v>
      </c>
      <c r="BQ97" s="17"/>
      <c r="BR97" s="17"/>
      <c r="BS97" s="17"/>
      <c r="BT97" s="17"/>
      <c r="BU97" s="2"/>
      <c r="BV97" s="2"/>
      <c r="BW97" s="2"/>
      <c r="BX97" s="2"/>
      <c r="BY97" s="2"/>
      <c r="BZ97" s="2"/>
      <c r="CA97" s="2"/>
      <c r="CB97" s="2"/>
    </row>
    <row r="98" spans="1:80">
      <c r="A98" s="4"/>
      <c r="B98" s="2"/>
      <c r="C98" s="2"/>
      <c r="D98" s="2"/>
      <c r="E98" s="2"/>
      <c r="F98" s="2"/>
      <c r="G98" s="2"/>
      <c r="H98" s="2"/>
      <c r="I98" s="2"/>
      <c r="J98" s="17"/>
      <c r="K98" s="17"/>
      <c r="L98" s="17"/>
      <c r="M98" s="17"/>
      <c r="N98" s="17"/>
      <c r="O98" s="17"/>
      <c r="P98" s="17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17"/>
      <c r="BR98" s="17"/>
      <c r="BS98" s="17"/>
      <c r="BT98" s="17"/>
      <c r="BU98" s="2"/>
      <c r="BV98" s="2"/>
      <c r="BW98" s="2"/>
      <c r="BX98" s="2"/>
      <c r="BY98" s="2"/>
      <c r="BZ98" s="2"/>
      <c r="CA98" s="2"/>
      <c r="CB98" s="2"/>
    </row>
    <row r="99" spans="1:8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</row>
    <row r="100" spans="1:80">
      <c r="A100" s="3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</row>
    <row r="101" spans="1:80">
      <c r="A101" s="3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</row>
    <row r="102" spans="1:80">
      <c r="A102" s="6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</row>
    <row r="103" spans="1:80">
      <c r="A103" s="6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</row>
    <row r="104" spans="1:80">
      <c r="A104" s="4"/>
      <c r="B104" s="14"/>
      <c r="C104" s="14"/>
      <c r="D104" s="14"/>
      <c r="E104" s="14"/>
      <c r="F104" s="14"/>
      <c r="G104" s="14"/>
      <c r="H104" s="14"/>
      <c r="I104" s="14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</row>
    <row r="105" spans="1:80">
      <c r="A105" s="4"/>
      <c r="B105" s="14"/>
      <c r="C105" s="14"/>
      <c r="D105" s="14"/>
      <c r="E105" s="14"/>
      <c r="F105" s="14"/>
      <c r="G105" s="14"/>
      <c r="H105" s="14"/>
      <c r="I105" s="14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</row>
    <row r="106" spans="1:80">
      <c r="A106" s="10"/>
      <c r="B106" s="27"/>
      <c r="C106" s="27"/>
      <c r="D106" s="27"/>
      <c r="E106" s="27"/>
      <c r="F106" s="27"/>
      <c r="G106" s="27"/>
      <c r="H106" s="27"/>
      <c r="I106" s="27"/>
      <c r="J106" s="10"/>
      <c r="K106" s="10"/>
      <c r="L106" s="10"/>
      <c r="M106" s="10"/>
      <c r="N106" s="10"/>
      <c r="O106" s="10"/>
      <c r="P106" s="10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</row>
    <row r="107" spans="1:80">
      <c r="A107" s="4"/>
      <c r="B107" s="14"/>
      <c r="C107" s="14"/>
      <c r="D107" s="14"/>
      <c r="E107" s="14"/>
      <c r="F107" s="14"/>
      <c r="G107" s="14"/>
      <c r="H107" s="14"/>
      <c r="I107" s="14"/>
      <c r="J107" s="17"/>
      <c r="K107" s="17"/>
      <c r="L107" s="17"/>
      <c r="M107" s="17"/>
      <c r="N107" s="17"/>
      <c r="O107" s="17"/>
      <c r="P107" s="17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</row>
    <row r="108" spans="1:80">
      <c r="A108" s="4"/>
      <c r="B108" s="14"/>
      <c r="C108" s="14"/>
      <c r="D108" s="14"/>
      <c r="E108" s="14"/>
      <c r="F108" s="14"/>
      <c r="G108" s="14"/>
      <c r="H108" s="14"/>
      <c r="I108" s="14"/>
      <c r="J108" s="17"/>
      <c r="K108" s="17"/>
      <c r="L108" s="17"/>
      <c r="M108" s="17"/>
      <c r="N108" s="17"/>
      <c r="O108" s="17"/>
      <c r="P108" s="17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</row>
    <row r="109" spans="1:80">
      <c r="A109" s="10"/>
      <c r="B109" s="27"/>
      <c r="C109" s="27"/>
      <c r="D109" s="27"/>
      <c r="E109" s="27"/>
      <c r="F109" s="27"/>
      <c r="G109" s="27"/>
      <c r="H109" s="27"/>
      <c r="I109" s="27"/>
      <c r="J109" s="10"/>
      <c r="K109" s="10"/>
      <c r="L109" s="10"/>
      <c r="M109" s="10"/>
      <c r="N109" s="10"/>
      <c r="O109" s="10"/>
      <c r="P109" s="10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</row>
    <row r="110" spans="1:80">
      <c r="A110" s="2"/>
      <c r="B110" s="14"/>
      <c r="C110" s="14"/>
      <c r="D110" s="14"/>
      <c r="E110" s="14"/>
      <c r="F110" s="14"/>
      <c r="G110" s="14"/>
      <c r="H110" s="14"/>
      <c r="I110" s="14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</row>
    <row r="111" spans="1:80">
      <c r="A111" s="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25"/>
      <c r="O111" s="14"/>
      <c r="P111" s="25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</row>
    <row r="112" spans="1:80">
      <c r="A112" s="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</row>
    <row r="113" spans="1:80">
      <c r="A113" s="4"/>
      <c r="B113" s="14"/>
      <c r="C113" s="14"/>
      <c r="D113" s="14"/>
      <c r="E113" s="14"/>
      <c r="F113" s="14"/>
      <c r="G113" s="14"/>
      <c r="H113" s="14"/>
      <c r="I113" s="14"/>
      <c r="J113" s="2"/>
      <c r="K113" s="2"/>
      <c r="L113" s="25"/>
      <c r="M113" s="25"/>
      <c r="N113" s="25"/>
      <c r="O113" s="25"/>
      <c r="P113" s="25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</row>
    <row r="114" spans="1:80">
      <c r="A114" s="4"/>
      <c r="B114" s="14"/>
      <c r="C114" s="14"/>
      <c r="D114" s="14"/>
      <c r="E114" s="14"/>
      <c r="F114" s="14"/>
      <c r="G114" s="14"/>
      <c r="H114" s="14"/>
      <c r="I114" s="14"/>
      <c r="J114" s="2"/>
      <c r="K114" s="2"/>
      <c r="L114" s="25"/>
      <c r="M114" s="25"/>
      <c r="N114" s="25"/>
      <c r="O114" s="25"/>
      <c r="P114" s="25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</row>
    <row r="115" spans="1:80">
      <c r="A115" s="2"/>
      <c r="B115" s="14"/>
      <c r="C115" s="14"/>
      <c r="D115" s="14"/>
      <c r="E115" s="14"/>
      <c r="F115" s="14"/>
      <c r="G115" s="14"/>
      <c r="H115" s="14"/>
      <c r="I115" s="14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</row>
    <row r="116" spans="1:80">
      <c r="A116" s="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</row>
    <row r="117" spans="1:80">
      <c r="A117" s="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</row>
    <row r="118" spans="1:80">
      <c r="A118" s="4"/>
      <c r="B118" s="14"/>
      <c r="C118" s="14"/>
      <c r="D118" s="14"/>
      <c r="E118" s="14"/>
      <c r="F118" s="14"/>
      <c r="G118" s="14"/>
      <c r="H118" s="14"/>
      <c r="I118" s="14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</row>
    <row r="119" spans="1:80">
      <c r="A119" s="2"/>
      <c r="B119" s="14"/>
      <c r="C119" s="14"/>
      <c r="D119" s="14"/>
      <c r="E119" s="14"/>
      <c r="F119" s="14"/>
      <c r="G119" s="14"/>
      <c r="H119" s="14"/>
      <c r="I119" s="14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</row>
    <row r="120" spans="1:80">
      <c r="A120" s="4"/>
      <c r="B120" s="14"/>
      <c r="C120" s="14"/>
      <c r="D120" s="14"/>
      <c r="E120" s="14"/>
      <c r="F120" s="14"/>
      <c r="G120" s="14"/>
      <c r="H120" s="14"/>
      <c r="I120" s="14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</row>
    <row r="121" spans="1:80">
      <c r="A121" s="4"/>
      <c r="B121" s="14"/>
      <c r="C121" s="14"/>
      <c r="D121" s="14"/>
      <c r="E121" s="14"/>
      <c r="F121" s="14"/>
      <c r="G121" s="14"/>
      <c r="H121" s="14"/>
      <c r="I121" s="14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</row>
    <row r="122" spans="1:80">
      <c r="A122" s="4"/>
      <c r="B122" s="14"/>
      <c r="C122" s="14"/>
      <c r="D122" s="14"/>
      <c r="E122" s="14"/>
      <c r="F122" s="14"/>
      <c r="G122" s="14"/>
      <c r="H122" s="14"/>
      <c r="I122" s="14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</row>
    <row r="123" spans="1:80">
      <c r="A123" s="4"/>
      <c r="B123" s="14"/>
      <c r="C123" s="14"/>
      <c r="D123" s="14"/>
      <c r="E123" s="14"/>
      <c r="F123" s="14"/>
      <c r="G123" s="14"/>
      <c r="H123" s="14"/>
      <c r="I123" s="14"/>
      <c r="J123" s="14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</row>
    <row r="124" spans="1:80">
      <c r="A124" s="4"/>
      <c r="B124" s="14"/>
      <c r="C124" s="14"/>
      <c r="D124" s="14"/>
      <c r="E124" s="14"/>
      <c r="F124" s="14"/>
      <c r="G124" s="14"/>
      <c r="H124" s="14"/>
      <c r="I124" s="14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</row>
    <row r="125" spans="1:80">
      <c r="A125" s="4"/>
      <c r="B125" s="14"/>
      <c r="C125" s="14"/>
      <c r="D125" s="14"/>
      <c r="E125" s="14"/>
      <c r="F125" s="14"/>
      <c r="G125" s="14"/>
      <c r="H125" s="14"/>
      <c r="I125" s="14"/>
      <c r="J125" s="2"/>
      <c r="K125" s="14"/>
      <c r="L125" s="14"/>
      <c r="M125" s="14"/>
      <c r="N125" s="14"/>
      <c r="O125" s="14"/>
      <c r="P125" s="14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</row>
    <row r="126" spans="1:80">
      <c r="A126" s="4"/>
      <c r="B126" s="14"/>
      <c r="C126" s="14"/>
      <c r="D126" s="14"/>
      <c r="E126" s="14"/>
      <c r="F126" s="14"/>
      <c r="G126" s="14"/>
      <c r="H126" s="14"/>
      <c r="I126" s="14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</row>
    <row r="127" spans="1:80">
      <c r="A127" s="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</row>
    <row r="128" spans="1:80">
      <c r="A128" s="4"/>
      <c r="B128" s="14"/>
      <c r="C128" s="14"/>
      <c r="D128" s="14"/>
      <c r="E128" s="14"/>
      <c r="F128" s="14"/>
      <c r="G128" s="14"/>
      <c r="H128" s="14"/>
      <c r="I128" s="14"/>
      <c r="J128" s="28"/>
      <c r="K128" s="28"/>
      <c r="L128" s="28"/>
      <c r="M128" s="28"/>
      <c r="N128" s="28"/>
      <c r="O128" s="28"/>
      <c r="P128" s="28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</row>
    <row r="129" spans="1:80">
      <c r="A129" s="10"/>
      <c r="B129" s="27"/>
      <c r="C129" s="27"/>
      <c r="D129" s="27"/>
      <c r="E129" s="27"/>
      <c r="F129" s="27"/>
      <c r="G129" s="27"/>
      <c r="H129" s="27"/>
      <c r="I129" s="27"/>
      <c r="J129" s="10"/>
      <c r="K129" s="10"/>
      <c r="L129" s="10"/>
      <c r="M129" s="10"/>
      <c r="N129" s="10"/>
      <c r="O129" s="10"/>
      <c r="P129" s="10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</row>
    <row r="130" spans="1:80">
      <c r="A130" s="4"/>
      <c r="B130" s="14"/>
      <c r="C130" s="14"/>
      <c r="D130" s="14"/>
      <c r="E130" s="14"/>
      <c r="F130" s="14"/>
      <c r="G130" s="14"/>
      <c r="H130" s="14"/>
      <c r="I130" s="14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</row>
    <row r="131" spans="1:80">
      <c r="A131" s="4"/>
      <c r="B131" s="14"/>
      <c r="C131" s="14"/>
      <c r="D131" s="14"/>
      <c r="E131" s="14"/>
      <c r="F131" s="14"/>
      <c r="G131" s="14"/>
      <c r="H131" s="14"/>
      <c r="I131" s="14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</row>
    <row r="132" spans="1:80">
      <c r="A132" s="4"/>
      <c r="B132" s="14"/>
      <c r="C132" s="14"/>
      <c r="D132" s="14"/>
      <c r="E132" s="14"/>
      <c r="F132" s="14"/>
      <c r="G132" s="14"/>
      <c r="H132" s="14"/>
      <c r="I132" s="14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</row>
    <row r="133" spans="1:80">
      <c r="A133" s="4"/>
      <c r="B133" s="14"/>
      <c r="C133" s="14"/>
      <c r="D133" s="14"/>
      <c r="E133" s="14"/>
      <c r="F133" s="14"/>
      <c r="G133" s="14"/>
      <c r="H133" s="14"/>
      <c r="I133" s="14"/>
      <c r="J133" s="2"/>
      <c r="K133" s="17"/>
      <c r="L133" s="17"/>
      <c r="M133" s="17"/>
      <c r="N133" s="17"/>
      <c r="O133" s="17"/>
      <c r="P133" s="17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17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</row>
    <row r="134" spans="1:80">
      <c r="A134" s="2"/>
      <c r="B134" s="14"/>
      <c r="C134" s="14"/>
      <c r="D134" s="14"/>
      <c r="E134" s="14"/>
      <c r="F134" s="14"/>
      <c r="G134" s="14"/>
      <c r="H134" s="14"/>
      <c r="I134" s="14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</row>
    <row r="135" spans="1:80">
      <c r="A135" s="2"/>
      <c r="B135" s="14"/>
      <c r="C135" s="14"/>
      <c r="D135" s="14"/>
      <c r="E135" s="14"/>
      <c r="F135" s="14"/>
      <c r="G135" s="14"/>
      <c r="H135" s="14"/>
      <c r="I135" s="14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</row>
    <row r="136" spans="1:8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</row>
    <row r="137" spans="1:8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</row>
    <row r="138" spans="1:8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</row>
    <row r="139" spans="1:8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</row>
    <row r="140" spans="1:8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</row>
    <row r="141" spans="1:8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</row>
    <row r="142" spans="1:8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</row>
    <row r="143" spans="1:8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</row>
    <row r="144" spans="1:8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</row>
    <row r="145" spans="1:8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</row>
    <row r="146" spans="1:8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</row>
  </sheetData>
  <phoneticPr fontId="0" type="noConversion"/>
  <pageMargins left="0.6" right="0.42499999999999999" top="0.75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M61"/>
  <sheetViews>
    <sheetView tabSelected="1" zoomScaleNormal="100" workbookViewId="0">
      <pane xSplit="2" ySplit="6" topLeftCell="G7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RowHeight="17.399999999999999"/>
  <cols>
    <col min="1" max="1" width="18.4609375" customWidth="1"/>
    <col min="2" max="2" width="9.53515625" customWidth="1"/>
    <col min="3" max="3" width="9.921875" hidden="1" customWidth="1"/>
    <col min="4" max="4" width="10" hidden="1" customWidth="1"/>
    <col min="5" max="6" width="8.69140625" hidden="1" customWidth="1"/>
    <col min="7" max="7" width="9.69140625" hidden="1" customWidth="1"/>
    <col min="8" max="12" width="12.69140625" customWidth="1"/>
  </cols>
  <sheetData>
    <row r="1" spans="1:12">
      <c r="F1" s="46" t="s">
        <v>129</v>
      </c>
      <c r="G1" s="46"/>
      <c r="H1" s="46"/>
      <c r="I1" s="46"/>
      <c r="J1" s="46"/>
    </row>
    <row r="2" spans="1:12">
      <c r="F2" s="46" t="s">
        <v>156</v>
      </c>
      <c r="G2" s="46"/>
      <c r="H2" s="46"/>
      <c r="I2" s="46"/>
      <c r="J2" s="46"/>
    </row>
    <row r="3" spans="1:12">
      <c r="F3" s="47">
        <v>46154</v>
      </c>
      <c r="G3" s="47"/>
      <c r="H3" s="47"/>
      <c r="I3" s="47"/>
      <c r="J3" s="47"/>
    </row>
    <row r="6" spans="1:12">
      <c r="A6" s="32" t="s">
        <v>130</v>
      </c>
      <c r="B6" s="33" t="s">
        <v>131</v>
      </c>
      <c r="C6" s="34" t="s">
        <v>151</v>
      </c>
      <c r="D6" s="34" t="s">
        <v>152</v>
      </c>
      <c r="E6" s="34" t="s">
        <v>153</v>
      </c>
      <c r="F6" s="34" t="s">
        <v>154</v>
      </c>
      <c r="G6" s="34" t="s">
        <v>155</v>
      </c>
      <c r="H6" s="34" t="s">
        <v>157</v>
      </c>
      <c r="I6" s="34" t="s">
        <v>158</v>
      </c>
      <c r="J6" s="34" t="s">
        <v>163</v>
      </c>
      <c r="K6" s="34" t="s">
        <v>164</v>
      </c>
      <c r="L6" s="34" t="s">
        <v>165</v>
      </c>
    </row>
    <row r="7" spans="1:12">
      <c r="A7" s="35"/>
      <c r="B7" s="36"/>
    </row>
    <row r="8" spans="1:12">
      <c r="A8" s="32" t="s">
        <v>132</v>
      </c>
      <c r="B8" s="36"/>
    </row>
    <row r="9" spans="1:12">
      <c r="A9" s="38" t="s">
        <v>133</v>
      </c>
      <c r="B9" s="36" t="s">
        <v>134</v>
      </c>
      <c r="C9" s="39">
        <v>12465</v>
      </c>
      <c r="D9" s="39">
        <v>13831</v>
      </c>
      <c r="E9" s="39">
        <v>13494</v>
      </c>
      <c r="F9" s="39">
        <v>11884</v>
      </c>
      <c r="G9" s="39">
        <v>11080</v>
      </c>
      <c r="H9" s="39">
        <v>13567</v>
      </c>
      <c r="I9" s="39">
        <v>10083</v>
      </c>
      <c r="J9" s="39">
        <v>10977</v>
      </c>
      <c r="K9" s="39">
        <v>9141</v>
      </c>
      <c r="L9" s="39">
        <v>9510</v>
      </c>
    </row>
    <row r="10" spans="1:12">
      <c r="A10" s="38" t="s">
        <v>135</v>
      </c>
      <c r="B10" s="36" t="s">
        <v>136</v>
      </c>
      <c r="C10" s="39">
        <v>10850</v>
      </c>
      <c r="D10" s="39">
        <v>9728</v>
      </c>
      <c r="E10" s="39">
        <v>11266</v>
      </c>
      <c r="F10" s="39">
        <v>8016.5</v>
      </c>
      <c r="G10" s="39">
        <v>10139.5</v>
      </c>
      <c r="H10" s="39">
        <v>7113.5</v>
      </c>
      <c r="I10" s="39">
        <v>6301.8</v>
      </c>
      <c r="J10" s="39">
        <v>7555.7</v>
      </c>
      <c r="K10" s="39">
        <v>7688.9</v>
      </c>
      <c r="L10" s="39">
        <v>7249</v>
      </c>
    </row>
    <row r="11" spans="1:12">
      <c r="A11" s="38" t="s">
        <v>137</v>
      </c>
      <c r="B11" s="36" t="s">
        <v>138</v>
      </c>
      <c r="C11" s="39">
        <v>894.658064516129</v>
      </c>
      <c r="D11" s="39">
        <v>866.74342105263156</v>
      </c>
      <c r="E11" s="39">
        <v>819.18693413811468</v>
      </c>
      <c r="F11" s="39">
        <v>841.92353271377783</v>
      </c>
      <c r="G11" s="39">
        <v>813.81527688742051</v>
      </c>
      <c r="H11" s="39">
        <v>944.54769101005127</v>
      </c>
      <c r="I11" s="39">
        <v>894.98238598495664</v>
      </c>
      <c r="J11" s="39">
        <v>885.51954153817644</v>
      </c>
      <c r="K11" s="39">
        <v>842.27392734981606</v>
      </c>
      <c r="L11" s="39">
        <v>859.15298661884401</v>
      </c>
    </row>
    <row r="12" spans="1:12">
      <c r="A12" s="32"/>
      <c r="B12" s="36"/>
      <c r="C12" s="39"/>
      <c r="D12" s="39"/>
      <c r="E12" s="39"/>
      <c r="F12" s="39"/>
      <c r="G12" s="39"/>
      <c r="H12" s="39"/>
      <c r="I12" s="39"/>
      <c r="J12" s="39"/>
    </row>
    <row r="13" spans="1:12">
      <c r="A13" s="35" t="s">
        <v>139</v>
      </c>
      <c r="B13" s="36" t="s">
        <v>140</v>
      </c>
      <c r="C13" s="39">
        <v>2682</v>
      </c>
      <c r="D13" s="39">
        <v>4085</v>
      </c>
      <c r="E13" s="39">
        <v>4717</v>
      </c>
      <c r="F13" s="39">
        <v>7044</v>
      </c>
      <c r="G13" s="39">
        <v>3488</v>
      </c>
      <c r="H13" s="39">
        <v>4576</v>
      </c>
      <c r="I13" s="39">
        <v>4478</v>
      </c>
      <c r="J13" s="39">
        <v>3002</v>
      </c>
      <c r="K13" s="39">
        <v>3833</v>
      </c>
      <c r="L13" s="39">
        <v>4248</v>
      </c>
    </row>
    <row r="14" spans="1:12">
      <c r="A14" s="35" t="s">
        <v>141</v>
      </c>
      <c r="B14" s="36" t="s">
        <v>136</v>
      </c>
      <c r="C14" s="39">
        <v>20223</v>
      </c>
      <c r="D14" s="39">
        <v>17566</v>
      </c>
      <c r="E14" s="39">
        <v>19227</v>
      </c>
      <c r="F14" s="39">
        <v>14061</v>
      </c>
      <c r="G14" s="39">
        <v>17191</v>
      </c>
      <c r="H14" s="39">
        <v>13998</v>
      </c>
      <c r="I14" s="39">
        <v>11750</v>
      </c>
      <c r="J14" s="39">
        <v>13939</v>
      </c>
      <c r="K14" s="39">
        <v>13492</v>
      </c>
      <c r="L14" s="39">
        <v>12975</v>
      </c>
    </row>
    <row r="15" spans="1:12">
      <c r="A15" s="35" t="s">
        <v>142</v>
      </c>
      <c r="B15" s="36" t="s">
        <v>136</v>
      </c>
      <c r="C15" s="40">
        <v>1</v>
      </c>
      <c r="D15" s="40">
        <v>0</v>
      </c>
      <c r="E15" s="40">
        <v>0</v>
      </c>
      <c r="F15" s="40">
        <v>0</v>
      </c>
      <c r="G15" s="40">
        <v>1</v>
      </c>
      <c r="H15" s="40">
        <v>0</v>
      </c>
      <c r="I15" s="40">
        <v>2</v>
      </c>
      <c r="J15" s="40">
        <v>3</v>
      </c>
      <c r="K15" s="40">
        <v>5</v>
      </c>
      <c r="L15" s="40">
        <v>5</v>
      </c>
    </row>
    <row r="16" spans="1:12">
      <c r="A16" s="35" t="s">
        <v>143</v>
      </c>
      <c r="B16" s="36" t="s">
        <v>136</v>
      </c>
      <c r="C16" s="39">
        <v>22906</v>
      </c>
      <c r="D16" s="39">
        <v>21651</v>
      </c>
      <c r="E16" s="39">
        <v>23944</v>
      </c>
      <c r="F16" s="39">
        <v>21105</v>
      </c>
      <c r="G16" s="39">
        <v>20680</v>
      </c>
      <c r="H16" s="39">
        <v>18574</v>
      </c>
      <c r="I16" s="39">
        <v>16230</v>
      </c>
      <c r="J16" s="39">
        <v>16944</v>
      </c>
      <c r="K16" s="39">
        <v>17330</v>
      </c>
      <c r="L16" s="39">
        <v>17228</v>
      </c>
    </row>
    <row r="17" spans="1:12">
      <c r="A17" s="35"/>
      <c r="B17" s="36"/>
      <c r="C17" s="39"/>
      <c r="D17" s="39"/>
      <c r="E17" s="39"/>
      <c r="F17" s="39"/>
      <c r="G17" s="39"/>
      <c r="H17" s="39"/>
      <c r="I17" s="39"/>
      <c r="J17" s="39"/>
      <c r="K17" s="39"/>
      <c r="L17" s="39"/>
    </row>
    <row r="18" spans="1:12">
      <c r="A18" s="35" t="s">
        <v>144</v>
      </c>
      <c r="B18" s="36" t="s">
        <v>136</v>
      </c>
      <c r="C18" s="39">
        <v>3198</v>
      </c>
      <c r="D18" s="39">
        <v>2953</v>
      </c>
      <c r="E18" s="39">
        <v>2135</v>
      </c>
      <c r="F18" s="39">
        <v>2385</v>
      </c>
      <c r="G18" s="39">
        <v>2538</v>
      </c>
      <c r="H18" s="39">
        <v>2043</v>
      </c>
      <c r="I18" s="39">
        <v>1840</v>
      </c>
      <c r="J18" s="39">
        <v>1695</v>
      </c>
      <c r="K18" s="39">
        <v>1595</v>
      </c>
      <c r="L18" s="39">
        <v>1595</v>
      </c>
    </row>
    <row r="19" spans="1:12">
      <c r="A19" s="35" t="s">
        <v>145</v>
      </c>
      <c r="B19" s="36" t="s">
        <v>136</v>
      </c>
      <c r="C19" s="40">
        <v>15650.999999999998</v>
      </c>
      <c r="D19" s="40">
        <v>14036</v>
      </c>
      <c r="E19" s="40">
        <v>14799</v>
      </c>
      <c r="F19" s="40">
        <v>15272</v>
      </c>
      <c r="G19" s="40">
        <v>13588</v>
      </c>
      <c r="H19" s="40">
        <v>12133</v>
      </c>
      <c r="I19" s="40">
        <v>11420</v>
      </c>
      <c r="J19" s="40">
        <v>11453</v>
      </c>
      <c r="K19" s="40">
        <v>11585</v>
      </c>
      <c r="L19" s="40">
        <v>11950</v>
      </c>
    </row>
    <row r="20" spans="1:12">
      <c r="A20" s="35" t="s">
        <v>146</v>
      </c>
      <c r="B20" s="36" t="s">
        <v>136</v>
      </c>
      <c r="C20" s="39">
        <v>18849</v>
      </c>
      <c r="D20" s="39">
        <v>16989</v>
      </c>
      <c r="E20" s="39">
        <v>16934</v>
      </c>
      <c r="F20" s="39">
        <v>17657</v>
      </c>
      <c r="G20" s="39">
        <v>16126</v>
      </c>
      <c r="H20" s="39">
        <v>14176</v>
      </c>
      <c r="I20" s="39">
        <v>13260</v>
      </c>
      <c r="J20" s="39">
        <v>13148</v>
      </c>
      <c r="K20" s="39">
        <v>13180</v>
      </c>
      <c r="L20" s="39">
        <v>13545</v>
      </c>
    </row>
    <row r="21" spans="1:12">
      <c r="A21" s="35"/>
      <c r="B21" s="36"/>
      <c r="C21" s="39"/>
      <c r="D21" s="39"/>
      <c r="E21" s="39"/>
      <c r="F21" s="39"/>
      <c r="G21" s="39"/>
      <c r="H21" s="39"/>
      <c r="I21" s="39"/>
      <c r="J21" s="39"/>
    </row>
    <row r="22" spans="1:12">
      <c r="A22" s="35" t="s">
        <v>147</v>
      </c>
      <c r="B22" s="36" t="s">
        <v>136</v>
      </c>
      <c r="C22" s="39">
        <v>30</v>
      </c>
      <c r="D22" s="39">
        <v>55</v>
      </c>
      <c r="E22" s="39">
        <v>34</v>
      </c>
      <c r="F22" s="39">
        <v>40</v>
      </c>
      <c r="G22" s="39">
        <v>22</v>
      </c>
      <c r="H22" s="39">
        <v>80</v>
      </c>
      <c r="I22" s="39">
        <v>32</v>
      </c>
      <c r="J22" s="39">
        <v>37</v>
      </c>
      <c r="K22" s="39">
        <v>98</v>
      </c>
      <c r="L22" s="39">
        <v>95</v>
      </c>
    </row>
    <row r="23" spans="1:12">
      <c r="A23" s="35" t="s">
        <v>148</v>
      </c>
      <c r="B23" s="36" t="s">
        <v>136</v>
      </c>
      <c r="C23" s="39">
        <v>4087</v>
      </c>
      <c r="D23" s="39">
        <v>4717</v>
      </c>
      <c r="E23" s="39">
        <v>7044</v>
      </c>
      <c r="F23" s="39">
        <v>3488</v>
      </c>
      <c r="G23" s="39">
        <v>4576</v>
      </c>
      <c r="H23" s="39">
        <v>4478</v>
      </c>
      <c r="I23" s="39">
        <v>3002</v>
      </c>
      <c r="J23" s="39">
        <v>3833</v>
      </c>
      <c r="K23" s="39">
        <v>4248</v>
      </c>
      <c r="L23" s="39">
        <v>3778</v>
      </c>
    </row>
    <row r="24" spans="1:12">
      <c r="A24" s="37"/>
      <c r="B24" s="36"/>
      <c r="C24" s="39"/>
      <c r="D24" s="39"/>
      <c r="E24" s="39"/>
      <c r="F24" s="39"/>
      <c r="G24" s="39"/>
      <c r="H24" s="39"/>
      <c r="I24" s="39"/>
      <c r="J24" s="39"/>
    </row>
    <row r="25" spans="1:12">
      <c r="A25" s="32" t="s">
        <v>128</v>
      </c>
      <c r="B25" s="36"/>
      <c r="C25" s="39"/>
      <c r="D25" s="39"/>
      <c r="E25" s="39"/>
      <c r="F25" s="39"/>
      <c r="G25" s="39"/>
      <c r="H25" s="39"/>
      <c r="I25" s="39"/>
      <c r="J25" s="39"/>
    </row>
    <row r="26" spans="1:12">
      <c r="A26" s="38" t="s">
        <v>133</v>
      </c>
      <c r="B26" s="36" t="s">
        <v>134</v>
      </c>
      <c r="C26" s="39">
        <v>252.5</v>
      </c>
      <c r="D26" s="39">
        <v>250.3</v>
      </c>
      <c r="E26" s="39">
        <v>228.7</v>
      </c>
      <c r="F26" s="39">
        <v>202</v>
      </c>
      <c r="G26" s="39">
        <v>126.5</v>
      </c>
      <c r="H26" s="39">
        <v>182</v>
      </c>
      <c r="I26" s="39">
        <v>147</v>
      </c>
      <c r="J26" s="39">
        <v>207</v>
      </c>
      <c r="K26" s="39">
        <v>141.5</v>
      </c>
      <c r="L26" s="39">
        <v>130</v>
      </c>
    </row>
    <row r="27" spans="1:12">
      <c r="A27" s="38" t="s">
        <v>135</v>
      </c>
      <c r="B27" s="36" t="s">
        <v>136</v>
      </c>
      <c r="C27" s="39">
        <v>250.4</v>
      </c>
      <c r="D27" s="39">
        <v>248.8</v>
      </c>
      <c r="E27" s="39">
        <v>223.4</v>
      </c>
      <c r="F27" s="39">
        <v>194</v>
      </c>
      <c r="G27" s="39">
        <v>123.7</v>
      </c>
      <c r="H27" s="39">
        <v>176.1</v>
      </c>
      <c r="I27" s="39">
        <v>137.80000000000001</v>
      </c>
      <c r="J27" s="39">
        <v>200.5</v>
      </c>
      <c r="K27" s="39">
        <v>138.4</v>
      </c>
      <c r="L27" s="39">
        <v>126</v>
      </c>
    </row>
    <row r="28" spans="1:12">
      <c r="A28" s="38" t="s">
        <v>137</v>
      </c>
      <c r="B28" s="36" t="s">
        <v>138</v>
      </c>
      <c r="C28" s="39">
        <v>1340.8945686900959</v>
      </c>
      <c r="D28" s="39">
        <v>1545.3376205787781</v>
      </c>
      <c r="E28" s="39">
        <v>1472.8737690241719</v>
      </c>
      <c r="F28" s="39">
        <v>1352.1649484536083</v>
      </c>
      <c r="G28" s="39">
        <v>1288.2780921584479</v>
      </c>
      <c r="H28" s="39">
        <v>1281.0902896081773</v>
      </c>
      <c r="I28" s="39">
        <v>1100.7256894049347</v>
      </c>
      <c r="J28" s="39">
        <v>1127.5810473815461</v>
      </c>
      <c r="K28" s="39">
        <v>1404.6242774566474</v>
      </c>
      <c r="L28" s="39">
        <v>1238.0952380952381</v>
      </c>
    </row>
    <row r="29" spans="1:12">
      <c r="A29" s="32"/>
      <c r="B29" s="36"/>
      <c r="C29" s="39"/>
      <c r="D29" s="39"/>
      <c r="E29" s="39"/>
      <c r="F29" s="39"/>
      <c r="G29" s="39"/>
      <c r="H29" s="39"/>
      <c r="I29" s="39"/>
      <c r="J29" s="39"/>
    </row>
    <row r="30" spans="1:12">
      <c r="A30" s="35" t="s">
        <v>139</v>
      </c>
      <c r="B30" s="36" t="s">
        <v>140</v>
      </c>
      <c r="C30" s="39">
        <v>70</v>
      </c>
      <c r="D30" s="39">
        <v>115</v>
      </c>
      <c r="E30" s="39">
        <v>233</v>
      </c>
      <c r="F30" s="39">
        <v>406</v>
      </c>
      <c r="G30" s="39">
        <v>162</v>
      </c>
      <c r="H30" s="39">
        <v>24</v>
      </c>
      <c r="I30" s="39">
        <v>172</v>
      </c>
      <c r="J30" s="39">
        <v>148</v>
      </c>
      <c r="K30" s="39">
        <v>167</v>
      </c>
      <c r="L30" s="39">
        <v>152</v>
      </c>
    </row>
    <row r="31" spans="1:12">
      <c r="A31" s="35" t="s">
        <v>141</v>
      </c>
      <c r="B31" s="36" t="s">
        <v>136</v>
      </c>
      <c r="C31" s="39">
        <v>699.5</v>
      </c>
      <c r="D31" s="39">
        <v>801</v>
      </c>
      <c r="E31" s="39">
        <v>685.5</v>
      </c>
      <c r="F31" s="39">
        <v>546.5</v>
      </c>
      <c r="G31" s="39">
        <v>332</v>
      </c>
      <c r="H31" s="39">
        <v>470</v>
      </c>
      <c r="I31" s="39">
        <v>316</v>
      </c>
      <c r="J31" s="39">
        <v>471</v>
      </c>
      <c r="K31" s="39">
        <v>405</v>
      </c>
      <c r="L31" s="39">
        <v>325</v>
      </c>
    </row>
    <row r="32" spans="1:12">
      <c r="A32" s="35" t="s">
        <v>142</v>
      </c>
      <c r="B32" s="36" t="s">
        <v>136</v>
      </c>
      <c r="C32" s="40">
        <v>2</v>
      </c>
      <c r="D32" s="40">
        <v>3</v>
      </c>
      <c r="E32" s="40">
        <v>3</v>
      </c>
      <c r="F32" s="40">
        <v>2</v>
      </c>
      <c r="G32" s="40">
        <v>4</v>
      </c>
      <c r="H32" s="40">
        <v>2</v>
      </c>
      <c r="I32" s="40">
        <v>0</v>
      </c>
      <c r="J32" s="40">
        <v>0</v>
      </c>
      <c r="K32" s="40">
        <v>0</v>
      </c>
      <c r="L32" s="40">
        <v>0</v>
      </c>
    </row>
    <row r="33" spans="1:13">
      <c r="A33" s="35" t="s">
        <v>143</v>
      </c>
      <c r="B33" s="36" t="s">
        <v>136</v>
      </c>
      <c r="C33" s="39">
        <v>771.5</v>
      </c>
      <c r="D33" s="39">
        <v>919</v>
      </c>
      <c r="E33" s="39">
        <v>921.5</v>
      </c>
      <c r="F33" s="39">
        <v>954.5</v>
      </c>
      <c r="G33" s="39">
        <v>498</v>
      </c>
      <c r="H33" s="39">
        <v>496</v>
      </c>
      <c r="I33" s="39">
        <v>488</v>
      </c>
      <c r="J33" s="39">
        <v>619</v>
      </c>
      <c r="K33" s="39">
        <v>572</v>
      </c>
      <c r="L33" s="39">
        <v>477</v>
      </c>
    </row>
    <row r="34" spans="1:13">
      <c r="A34" s="35"/>
      <c r="B34" s="36"/>
      <c r="C34" s="39"/>
      <c r="D34" s="39"/>
      <c r="E34" s="39"/>
      <c r="F34" s="39"/>
      <c r="G34" s="39"/>
      <c r="H34" s="39"/>
      <c r="I34" s="39"/>
      <c r="J34" s="39"/>
    </row>
    <row r="35" spans="1:13">
      <c r="A35" s="35" t="s">
        <v>144</v>
      </c>
      <c r="B35" s="36" t="s">
        <v>136</v>
      </c>
      <c r="C35" s="39">
        <v>27</v>
      </c>
      <c r="D35" s="39">
        <v>22</v>
      </c>
      <c r="E35" s="39">
        <v>15</v>
      </c>
      <c r="F35" s="39">
        <v>15</v>
      </c>
      <c r="G35" s="39">
        <v>12</v>
      </c>
      <c r="H35" s="39">
        <v>7</v>
      </c>
      <c r="I35" s="39">
        <v>10</v>
      </c>
      <c r="J35" s="39">
        <v>5</v>
      </c>
      <c r="K35" s="39">
        <v>5</v>
      </c>
      <c r="L35" s="39">
        <v>5</v>
      </c>
    </row>
    <row r="36" spans="1:13">
      <c r="A36" s="35" t="s">
        <v>145</v>
      </c>
      <c r="B36" s="36" t="s">
        <v>136</v>
      </c>
      <c r="C36" s="40">
        <v>630</v>
      </c>
      <c r="D36" s="40">
        <v>664</v>
      </c>
      <c r="E36" s="40">
        <v>501</v>
      </c>
      <c r="F36" s="40">
        <v>778</v>
      </c>
      <c r="G36" s="40">
        <v>462</v>
      </c>
      <c r="H36" s="40">
        <v>317</v>
      </c>
      <c r="I36" s="40">
        <v>330</v>
      </c>
      <c r="J36" s="40">
        <v>447</v>
      </c>
      <c r="K36" s="40">
        <v>415</v>
      </c>
      <c r="L36" s="40">
        <v>350</v>
      </c>
    </row>
    <row r="37" spans="1:13">
      <c r="A37" s="35" t="s">
        <v>146</v>
      </c>
      <c r="B37" s="36" t="s">
        <v>136</v>
      </c>
      <c r="C37" s="39">
        <v>657</v>
      </c>
      <c r="D37" s="39">
        <v>686</v>
      </c>
      <c r="E37" s="39">
        <v>516</v>
      </c>
      <c r="F37" s="39">
        <v>793</v>
      </c>
      <c r="G37" s="39">
        <v>474</v>
      </c>
      <c r="H37" s="39">
        <v>324</v>
      </c>
      <c r="I37" s="39">
        <v>340</v>
      </c>
      <c r="J37" s="39">
        <v>452</v>
      </c>
      <c r="K37" s="39">
        <v>420</v>
      </c>
      <c r="L37" s="39">
        <v>355</v>
      </c>
    </row>
    <row r="38" spans="1:13">
      <c r="A38" s="35"/>
      <c r="B38" s="36"/>
      <c r="C38" s="39"/>
      <c r="D38" s="39"/>
      <c r="E38" s="39"/>
      <c r="F38" s="39"/>
      <c r="G38" s="39"/>
      <c r="H38" s="39"/>
      <c r="I38" s="39"/>
      <c r="J38" s="39"/>
    </row>
    <row r="39" spans="1:13">
      <c r="A39" s="35" t="s">
        <v>147</v>
      </c>
      <c r="B39" s="36" t="s">
        <v>136</v>
      </c>
      <c r="C39" s="39">
        <v>0.5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</row>
    <row r="40" spans="1:13">
      <c r="A40" s="35" t="s">
        <v>148</v>
      </c>
      <c r="B40" s="36" t="s">
        <v>136</v>
      </c>
      <c r="C40" s="39">
        <v>115</v>
      </c>
      <c r="D40" s="39">
        <v>233</v>
      </c>
      <c r="E40" s="39">
        <v>406</v>
      </c>
      <c r="F40" s="39">
        <v>162</v>
      </c>
      <c r="G40" s="39">
        <v>24</v>
      </c>
      <c r="H40" s="39">
        <v>172</v>
      </c>
      <c r="I40" s="39">
        <v>148</v>
      </c>
      <c r="J40" s="39">
        <v>167</v>
      </c>
      <c r="K40" s="39">
        <v>152</v>
      </c>
      <c r="L40" s="39">
        <v>122</v>
      </c>
    </row>
    <row r="41" spans="1:13">
      <c r="A41" s="37"/>
      <c r="B41" s="36"/>
      <c r="C41" s="39"/>
      <c r="D41" s="39"/>
      <c r="E41" s="39"/>
      <c r="F41" s="39"/>
      <c r="G41" s="39"/>
      <c r="H41" s="39"/>
      <c r="I41" s="39"/>
      <c r="J41" s="39"/>
    </row>
    <row r="42" spans="1:13">
      <c r="A42" s="32" t="s">
        <v>149</v>
      </c>
      <c r="B42" s="36"/>
      <c r="C42" s="42"/>
      <c r="D42" s="42"/>
      <c r="E42" s="42"/>
      <c r="F42" s="42"/>
      <c r="G42" s="42"/>
      <c r="H42" s="42"/>
      <c r="I42" s="42"/>
      <c r="J42" s="42"/>
    </row>
    <row r="43" spans="1:13">
      <c r="A43" s="38" t="s">
        <v>133</v>
      </c>
      <c r="B43" s="36" t="s">
        <v>134</v>
      </c>
      <c r="C43" s="39">
        <v>12717.5</v>
      </c>
      <c r="D43" s="39">
        <v>14081.3</v>
      </c>
      <c r="E43" s="39">
        <v>13722.7</v>
      </c>
      <c r="F43" s="39">
        <v>12086</v>
      </c>
      <c r="G43" s="39">
        <v>11206.5</v>
      </c>
      <c r="H43" s="39">
        <v>13749</v>
      </c>
      <c r="I43" s="39">
        <v>10230</v>
      </c>
      <c r="J43" s="39">
        <v>11184</v>
      </c>
      <c r="K43" s="39">
        <v>9282.5</v>
      </c>
      <c r="L43" s="39">
        <v>9640</v>
      </c>
    </row>
    <row r="44" spans="1:13">
      <c r="A44" s="38" t="s">
        <v>135</v>
      </c>
      <c r="B44" s="36" t="s">
        <v>136</v>
      </c>
      <c r="C44" s="39">
        <v>11100.4</v>
      </c>
      <c r="D44" s="39">
        <v>9976.7999999999993</v>
      </c>
      <c r="E44" s="39">
        <v>11489.4</v>
      </c>
      <c r="F44" s="39">
        <v>8210.5</v>
      </c>
      <c r="G44" s="39">
        <v>10263.200000000001</v>
      </c>
      <c r="H44" s="39">
        <v>7289.6</v>
      </c>
      <c r="I44" s="39">
        <v>6439.6</v>
      </c>
      <c r="J44" s="39">
        <v>7756.2</v>
      </c>
      <c r="K44" s="39">
        <v>7827.2999999999993</v>
      </c>
      <c r="L44" s="39">
        <v>7375</v>
      </c>
      <c r="M44" s="39"/>
    </row>
    <row r="45" spans="1:13">
      <c r="A45" s="38" t="s">
        <v>137</v>
      </c>
      <c r="B45" s="36" t="s">
        <v>138</v>
      </c>
      <c r="C45" s="39">
        <v>905</v>
      </c>
      <c r="D45" s="39">
        <v>884</v>
      </c>
      <c r="E45" s="39">
        <v>832</v>
      </c>
      <c r="F45" s="39">
        <v>854</v>
      </c>
      <c r="G45" s="39">
        <v>820</v>
      </c>
      <c r="H45" s="39">
        <v>953</v>
      </c>
      <c r="I45" s="39">
        <v>899</v>
      </c>
      <c r="J45" s="39">
        <v>892</v>
      </c>
      <c r="K45" s="39">
        <v>852</v>
      </c>
      <c r="L45" s="39">
        <v>866</v>
      </c>
    </row>
    <row r="46" spans="1:13">
      <c r="A46" s="32"/>
      <c r="B46" s="36"/>
      <c r="C46" s="41"/>
      <c r="D46" s="41"/>
      <c r="E46" s="41"/>
      <c r="F46" s="41"/>
      <c r="G46" s="41"/>
      <c r="H46" s="41"/>
      <c r="I46" s="41"/>
      <c r="J46" s="41"/>
    </row>
    <row r="47" spans="1:13">
      <c r="A47" s="35" t="s">
        <v>139</v>
      </c>
      <c r="B47" s="36" t="s">
        <v>140</v>
      </c>
      <c r="C47" s="39">
        <v>2752</v>
      </c>
      <c r="D47" s="39">
        <v>4200</v>
      </c>
      <c r="E47" s="39">
        <v>4950</v>
      </c>
      <c r="F47" s="39">
        <v>7450</v>
      </c>
      <c r="G47" s="39">
        <v>3650</v>
      </c>
      <c r="H47" s="39">
        <v>4600</v>
      </c>
      <c r="I47" s="39">
        <v>4650</v>
      </c>
      <c r="J47" s="44">
        <v>3150</v>
      </c>
      <c r="K47" s="44">
        <v>4000</v>
      </c>
      <c r="L47" s="44">
        <v>4400</v>
      </c>
    </row>
    <row r="48" spans="1:13">
      <c r="A48" s="35" t="s">
        <v>141</v>
      </c>
      <c r="B48" s="36" t="s">
        <v>136</v>
      </c>
      <c r="C48" s="39">
        <v>20922.5</v>
      </c>
      <c r="D48" s="39">
        <v>18367</v>
      </c>
      <c r="E48" s="39">
        <v>19912.5</v>
      </c>
      <c r="F48" s="39">
        <v>14607.5</v>
      </c>
      <c r="G48" s="39">
        <v>17523</v>
      </c>
      <c r="H48" s="39">
        <v>14468</v>
      </c>
      <c r="I48" s="39">
        <v>12066</v>
      </c>
      <c r="J48" s="39">
        <v>14410</v>
      </c>
      <c r="K48" s="39">
        <v>13897</v>
      </c>
      <c r="L48" s="39">
        <v>13300</v>
      </c>
    </row>
    <row r="49" spans="1:12">
      <c r="A49" s="35" t="s">
        <v>142</v>
      </c>
      <c r="B49" s="36" t="s">
        <v>136</v>
      </c>
      <c r="C49" s="40">
        <v>3</v>
      </c>
      <c r="D49" s="40">
        <v>3</v>
      </c>
      <c r="E49" s="40">
        <v>3</v>
      </c>
      <c r="F49" s="40">
        <v>2</v>
      </c>
      <c r="G49" s="40">
        <v>5</v>
      </c>
      <c r="H49" s="40">
        <v>2</v>
      </c>
      <c r="I49" s="40">
        <v>2</v>
      </c>
      <c r="J49" s="40">
        <v>3</v>
      </c>
      <c r="K49" s="40">
        <v>5</v>
      </c>
      <c r="L49" s="40">
        <v>5</v>
      </c>
    </row>
    <row r="50" spans="1:12">
      <c r="A50" s="35" t="s">
        <v>143</v>
      </c>
      <c r="B50" s="36" t="s">
        <v>136</v>
      </c>
      <c r="C50" s="39">
        <v>23677.5</v>
      </c>
      <c r="D50" s="39">
        <v>22570</v>
      </c>
      <c r="E50" s="39">
        <v>24865.5</v>
      </c>
      <c r="F50" s="39">
        <v>22059.5</v>
      </c>
      <c r="G50" s="39">
        <v>21178</v>
      </c>
      <c r="H50" s="39">
        <v>19070</v>
      </c>
      <c r="I50" s="39">
        <v>16718</v>
      </c>
      <c r="J50" s="39">
        <v>17563</v>
      </c>
      <c r="K50" s="39">
        <v>17902</v>
      </c>
      <c r="L50" s="39">
        <v>17705</v>
      </c>
    </row>
    <row r="51" spans="1:12">
      <c r="A51" s="35"/>
      <c r="B51" s="36"/>
      <c r="C51" s="39"/>
      <c r="D51" s="39"/>
      <c r="E51" s="39"/>
      <c r="F51" s="39"/>
      <c r="G51" s="39"/>
      <c r="H51" s="39"/>
      <c r="I51" s="39"/>
      <c r="J51" s="39"/>
    </row>
    <row r="52" spans="1:12">
      <c r="A52" s="35" t="s">
        <v>144</v>
      </c>
      <c r="B52" s="36" t="s">
        <v>136</v>
      </c>
      <c r="C52" s="39">
        <v>3225</v>
      </c>
      <c r="D52" s="39">
        <v>2975</v>
      </c>
      <c r="E52" s="39">
        <v>2150</v>
      </c>
      <c r="F52" s="39">
        <v>2400</v>
      </c>
      <c r="G52" s="39">
        <v>2550</v>
      </c>
      <c r="H52" s="39">
        <v>2050</v>
      </c>
      <c r="I52" s="39">
        <v>1850</v>
      </c>
      <c r="J52" s="39">
        <v>1700</v>
      </c>
      <c r="K52" s="39">
        <v>1600</v>
      </c>
      <c r="L52" s="39">
        <v>1600</v>
      </c>
    </row>
    <row r="53" spans="1:12">
      <c r="A53" s="35" t="s">
        <v>145</v>
      </c>
      <c r="B53" s="36" t="s">
        <v>136</v>
      </c>
      <c r="C53" s="40">
        <v>16280.999999999998</v>
      </c>
      <c r="D53" s="40">
        <v>14700</v>
      </c>
      <c r="E53" s="40">
        <v>15300</v>
      </c>
      <c r="F53" s="40">
        <v>16050</v>
      </c>
      <c r="G53" s="40">
        <v>14050</v>
      </c>
      <c r="H53" s="40">
        <v>12450</v>
      </c>
      <c r="I53" s="45">
        <v>11750</v>
      </c>
      <c r="J53" s="45">
        <v>11900</v>
      </c>
      <c r="K53" s="45">
        <v>12000</v>
      </c>
      <c r="L53" s="45">
        <v>12300</v>
      </c>
    </row>
    <row r="54" spans="1:12">
      <c r="A54" s="35" t="s">
        <v>146</v>
      </c>
      <c r="B54" s="36" t="s">
        <v>136</v>
      </c>
      <c r="C54" s="39">
        <v>19506</v>
      </c>
      <c r="D54" s="39">
        <v>17675</v>
      </c>
      <c r="E54" s="39">
        <v>17450</v>
      </c>
      <c r="F54" s="39">
        <v>18450</v>
      </c>
      <c r="G54" s="39">
        <v>16600</v>
      </c>
      <c r="H54" s="39">
        <v>14500</v>
      </c>
      <c r="I54" s="39">
        <v>13600</v>
      </c>
      <c r="J54" s="39">
        <v>13600</v>
      </c>
      <c r="K54" s="39">
        <v>13600</v>
      </c>
      <c r="L54" s="39">
        <v>13900</v>
      </c>
    </row>
    <row r="55" spans="1:12">
      <c r="A55" s="35"/>
      <c r="B55" s="36"/>
      <c r="C55" s="39"/>
      <c r="D55" s="39"/>
      <c r="E55" s="39"/>
      <c r="F55" s="39"/>
      <c r="G55" s="39"/>
      <c r="H55" s="39"/>
      <c r="I55" s="39"/>
      <c r="J55" s="39"/>
    </row>
    <row r="56" spans="1:12">
      <c r="A56" s="35" t="s">
        <v>147</v>
      </c>
      <c r="B56" s="36" t="s">
        <v>136</v>
      </c>
      <c r="C56" s="39">
        <v>30.5</v>
      </c>
      <c r="D56" s="39">
        <v>55</v>
      </c>
      <c r="E56" s="39">
        <v>34</v>
      </c>
      <c r="F56" s="39">
        <v>40</v>
      </c>
      <c r="G56" s="39">
        <v>22</v>
      </c>
      <c r="H56" s="39">
        <v>80</v>
      </c>
      <c r="I56" s="39">
        <v>32</v>
      </c>
      <c r="J56" s="39">
        <v>37</v>
      </c>
      <c r="K56" s="39">
        <v>98</v>
      </c>
      <c r="L56" s="39">
        <v>95</v>
      </c>
    </row>
    <row r="57" spans="1:12">
      <c r="A57" s="35" t="s">
        <v>148</v>
      </c>
      <c r="B57" s="36" t="s">
        <v>136</v>
      </c>
      <c r="C57" s="39">
        <v>4202</v>
      </c>
      <c r="D57" s="39">
        <v>4950</v>
      </c>
      <c r="E57" s="39">
        <v>7450</v>
      </c>
      <c r="F57" s="39">
        <v>3650</v>
      </c>
      <c r="G57" s="39">
        <v>4600</v>
      </c>
      <c r="H57" s="39">
        <v>4650</v>
      </c>
      <c r="I57" s="39">
        <v>3150</v>
      </c>
      <c r="J57" s="39">
        <v>4000</v>
      </c>
      <c r="K57" s="39">
        <v>4400</v>
      </c>
      <c r="L57" s="39">
        <v>3900</v>
      </c>
    </row>
    <row r="59" spans="1:12">
      <c r="A59" s="35" t="s">
        <v>159</v>
      </c>
      <c r="B59" s="36" t="s">
        <v>150</v>
      </c>
      <c r="C59" s="39">
        <v>-12.715549439748386</v>
      </c>
      <c r="D59" s="39">
        <v>-29.148587133290249</v>
      </c>
      <c r="E59" s="39">
        <v>-16.274494086440725</v>
      </c>
      <c r="F59" s="39">
        <v>-32.066026807876881</v>
      </c>
      <c r="G59" s="39">
        <v>-8.4174363092847866</v>
      </c>
      <c r="H59" s="39">
        <v>-46.980871336097167</v>
      </c>
      <c r="I59" s="39">
        <v>-37.051808406647112</v>
      </c>
      <c r="J59" s="39">
        <v>-30.649141630901291</v>
      </c>
      <c r="K59" s="39">
        <v>-15.676811203878271</v>
      </c>
      <c r="L59" s="39">
        <v>-23.495850622406643</v>
      </c>
    </row>
    <row r="60" spans="1:12">
      <c r="A60" s="35" t="s">
        <v>160</v>
      </c>
      <c r="B60" s="36" t="s">
        <v>161</v>
      </c>
      <c r="C60" s="41">
        <v>68.599999999999994</v>
      </c>
      <c r="D60" s="41">
        <v>70.3</v>
      </c>
      <c r="E60" s="41">
        <v>59.6</v>
      </c>
      <c r="F60" s="41">
        <v>66.3</v>
      </c>
      <c r="G60" s="41">
        <v>91.4</v>
      </c>
      <c r="H60" s="41">
        <v>84.8</v>
      </c>
      <c r="I60" s="41">
        <v>76.099999999999994</v>
      </c>
      <c r="J60" s="41">
        <v>63.2</v>
      </c>
      <c r="K60" s="41">
        <v>63</v>
      </c>
      <c r="L60" s="41">
        <v>73</v>
      </c>
    </row>
    <row r="61" spans="1:12">
      <c r="A61" s="35" t="s">
        <v>162</v>
      </c>
      <c r="B61" s="36" t="s">
        <v>150</v>
      </c>
      <c r="C61" s="43">
        <v>21.542089613452269</v>
      </c>
      <c r="D61" s="43">
        <v>28.005657708628007</v>
      </c>
      <c r="E61" s="43">
        <v>42.693409742120345</v>
      </c>
      <c r="F61" s="43">
        <v>19.78319783197832</v>
      </c>
      <c r="G61" s="43">
        <v>27.710843373493976</v>
      </c>
      <c r="H61" s="43">
        <v>32.068965517241374</v>
      </c>
      <c r="I61" s="43">
        <v>23.161764705882355</v>
      </c>
      <c r="J61" s="43">
        <v>29.411764705882355</v>
      </c>
      <c r="K61" s="43">
        <v>32.352941176470587</v>
      </c>
      <c r="L61" s="43">
        <v>28.057553956834528</v>
      </c>
    </row>
  </sheetData>
  <mergeCells count="3">
    <mergeCell ref="F1:J1"/>
    <mergeCell ref="F2:J2"/>
    <mergeCell ref="F3:J3"/>
  </mergeCells>
  <phoneticPr fontId="0" type="noConversion"/>
  <pageMargins left="0.75" right="0.75" top="1" bottom="1" header="0.5" footer="0.5"/>
  <pageSetup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Hist S and D</vt:lpstr>
      <vt:lpstr>Upland&amp;ELS breakout</vt:lpstr>
      <vt:lpstr>\H</vt:lpstr>
      <vt:lpstr>\L</vt:lpstr>
      <vt:lpstr>\P</vt:lpstr>
      <vt:lpstr>_17FM_INC</vt:lpstr>
      <vt:lpstr>'Hist S and D'!_6_2</vt:lpstr>
      <vt:lpstr>'Hist S and D'!_8_3</vt:lpstr>
      <vt:lpstr>HIST</vt:lpstr>
      <vt:lpstr>'Upland&amp;ELS breakout'!Print_Area</vt:lpstr>
      <vt:lpstr>'Upland&amp;ELS breakout'!Print_Titles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Skelly, Carol - OCE</dc:creator>
  <cp:lastModifiedBy>Lanclos, Kent - OCE, DC</cp:lastModifiedBy>
  <cp:lastPrinted>2026-05-12T12:18:22Z</cp:lastPrinted>
  <dcterms:created xsi:type="dcterms:W3CDTF">2006-04-07T16:55:12Z</dcterms:created>
  <dcterms:modified xsi:type="dcterms:W3CDTF">2026-05-12T12:19:08Z</dcterms:modified>
</cp:coreProperties>
</file>